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d36cb00c162d632/Jobb Titania/Långivningsflik/Term Sheets/Exempel till hemsidan/Tingshuset/Term Sheets/Slutplaceringslån/"/>
    </mc:Choice>
  </mc:AlternateContent>
  <xr:revisionPtr revIDLastSave="45" documentId="13_ncr:20001_{54DAC895-20C9-43F0-A05D-45ED8FAAD6BC}" xr6:coauthVersionLast="47" xr6:coauthVersionMax="47" xr10:uidLastSave="{732547DF-FD11-418D-A3D3-51A19263AEF0}"/>
  <bookViews>
    <workbookView xWindow="-120" yWindow="-120" windowWidth="29040" windowHeight="17520" activeTab="1" xr2:uid="{00000000-000D-0000-FFFF-FFFF00000000}"/>
  </bookViews>
  <sheets>
    <sheet name="Rent roll and financial info" sheetId="35" r:id="rId1"/>
    <sheet name="Cash flow NOI" sheetId="40" r:id="rId2"/>
    <sheet name="Apt.list" sheetId="39" r:id="rId3"/>
    <sheet name="Amortization" sheetId="41" r:id="rId4"/>
    <sheet name="Project overview" sheetId="30" state="hidden" r:id="rId5"/>
    <sheet name="Apartment list (old)" sheetId="36" state="hidden" r:id="rId6"/>
    <sheet name="Hallunda Gård aggregated" sheetId="9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fff2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__fff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__ggg2" localSheetId="5" hidden="1">{"View1",#N/A,FALSE,"Sheet1";"View2",#N/A,FALSE,"Sheet1"}</definedName>
    <definedName name="___ggg2" hidden="1">{"View1",#N/A,FALSE,"Sheet1";"View2",#N/A,FALSE,"Sheet1"}</definedName>
    <definedName name="___MRG2" localSheetId="5" hidden="1">{"INCOME",#N/A,FALSE,"ProNet";"VALUE",#N/A,FALSE,"ProNet"}</definedName>
    <definedName name="___MRG2" hidden="1">{"INCOME",#N/A,FALSE,"ProNet";"VALUE",#N/A,FALSE,"ProNet"}</definedName>
    <definedName name="__123Graph_ACurrent" localSheetId="5" hidden="1">'[1]Office Space'!$O$33:$AA$33</definedName>
    <definedName name="__123Graph_ACurrent" hidden="1">#REF!</definedName>
    <definedName name="__123Graph_B" localSheetId="5" hidden="1">'[2]Min Gain 1996'!$B$1:$B$22</definedName>
    <definedName name="__123Graph_B" hidden="1">#REF!</definedName>
    <definedName name="__123Graph_BCurrent" localSheetId="5" hidden="1">'[1]Office Space'!$O$34:$AA$34</definedName>
    <definedName name="__123Graph_BCurrent" hidden="1">#REF!</definedName>
    <definedName name="__123Graph_C" localSheetId="5" hidden="1">'[2]Min Gain 1996'!$D$1:$D$22</definedName>
    <definedName name="__123Graph_C" hidden="1">#REF!</definedName>
    <definedName name="__123Graph_X" localSheetId="5" hidden="1">'[2]Min Gain 1996'!$B$1:$B$22</definedName>
    <definedName name="__123Graph_X" hidden="1">#REF!</definedName>
    <definedName name="__123Graph_XCurrent" localSheetId="5" hidden="1">'[1]Office Space'!$O$9:$AA$9</definedName>
    <definedName name="__123Graph_XCurrent" hidden="1">#REF!</definedName>
    <definedName name="__FDS_HYPERLINK_TOGGLE_STATE__" hidden="1">"ON"</definedName>
    <definedName name="__FDS_UNIQUE_RANGE_ID_GENERATOR_COUNTER" hidden="1">1</definedName>
    <definedName name="_1__123Graph_ACHART_1" localSheetId="5" hidden="1">[3]B!$B$5:$B$7</definedName>
    <definedName name="_1__123Graph_ACHART_1" hidden="1">#REF!</definedName>
    <definedName name="_1_0_0_K" localSheetId="5" hidden="1">[4]useless!#REF!</definedName>
    <definedName name="_1_0_0_K" hidden="1">#REF!</definedName>
    <definedName name="_10__123Graph_BSS6_B" localSheetId="5" hidden="1">'[5]#REF'!#REF!</definedName>
    <definedName name="_10__123Graph_BSS6_B" hidden="1">#REF!</definedName>
    <definedName name="_11__123Graph_BSTD_A" localSheetId="5" hidden="1">[5]WEEKLYVLS!#REF!</definedName>
    <definedName name="_11__123Graph_BSTD_A" hidden="1">#REF!</definedName>
    <definedName name="_12__123Graph_CINVAR_A" localSheetId="5" hidden="1">[5]WEEKLYVLS!#REF!</definedName>
    <definedName name="_12__123Graph_CINVAR_A" hidden="1">#REF!</definedName>
    <definedName name="_13__123Graph_CSS5_A" localSheetId="5" hidden="1">'[5]#REF'!#REF!</definedName>
    <definedName name="_13__123Graph_CSS5_A" hidden="1">#REF!</definedName>
    <definedName name="_14__123Graph_CSS6_A" localSheetId="5" hidden="1">'[5]#REF'!#REF!</definedName>
    <definedName name="_14__123Graph_CSS6_A" hidden="1">#REF!</definedName>
    <definedName name="_15__123Graph_CSS6_B" localSheetId="5" hidden="1">'[5]#REF'!#REF!</definedName>
    <definedName name="_15__123Graph_CSS6_B" hidden="1">#REF!</definedName>
    <definedName name="_16__123Graph_CSS7_A" localSheetId="5" hidden="1">'[5]#REF'!#REF!</definedName>
    <definedName name="_16__123Graph_CSS7_A" hidden="1">#REF!</definedName>
    <definedName name="_17__123Graph_DINVAR_A" localSheetId="5" hidden="1">[5]WEEKLYVLS!#REF!</definedName>
    <definedName name="_17__123Graph_DINVAR_A" hidden="1">#REF!</definedName>
    <definedName name="_18__123Graph_DSS5_A" localSheetId="5" hidden="1">'[5]#REF'!#REF!</definedName>
    <definedName name="_18__123Graph_DSS5_A" hidden="1">#REF!</definedName>
    <definedName name="_19__123Graph_DSS6_B" localSheetId="5" hidden="1">'[5]#REF'!#REF!</definedName>
    <definedName name="_19__123Graph_DSS6_B" hidden="1">#REF!</definedName>
    <definedName name="_2__123Graph_ACHART_2" localSheetId="5" hidden="1">[3]B!$C$5:$C$7</definedName>
    <definedName name="_2__123Graph_ACHART_2" hidden="1">#REF!</definedName>
    <definedName name="_2_0_0_S" localSheetId="5" hidden="1">[4]useless!#REF!</definedName>
    <definedName name="_2_0_0_S" hidden="1">#REF!</definedName>
    <definedName name="_20__123Graph_DSS7_A" localSheetId="5" hidden="1">'[5]#REF'!#REF!</definedName>
    <definedName name="_20__123Graph_DSS7_A" hidden="1">#REF!</definedName>
    <definedName name="_21__123Graph_LBL_ACHART_1" localSheetId="5" hidden="1">[3]B!$B$5:$B$7</definedName>
    <definedName name="_21__123Graph_LBL_ACHART_1" hidden="1">#REF!</definedName>
    <definedName name="_22__123Graph_LBL_ACHART_2" localSheetId="5" hidden="1">[3]B!$C$5:$C$7</definedName>
    <definedName name="_22__123Graph_LBL_ACHART_2" hidden="1">#REF!</definedName>
    <definedName name="_23__123Graph_XChart_1" localSheetId="5" hidden="1">[6]Total!$C$322:$C$325</definedName>
    <definedName name="_23__123Graph_XChart_1" hidden="1">#REF!</definedName>
    <definedName name="_24__123Graph_XChart_1A" localSheetId="5" hidden="1">[7]F1!#REF!</definedName>
    <definedName name="_24__123Graph_XChart_1A" hidden="1">#REF!</definedName>
    <definedName name="_25__123Graph_XCHART_2" localSheetId="5" hidden="1">[3]B!$A$5:$A$7</definedName>
    <definedName name="_25__123Graph_XCHART_2" hidden="1">#REF!</definedName>
    <definedName name="_3__123Graph_AINVAR_A" localSheetId="5" hidden="1">[5]WEEKLYVLS!#REF!</definedName>
    <definedName name="_3__123Graph_AINVAR_A" hidden="1">#REF!</definedName>
    <definedName name="_4__123Graph_ASS6_A" localSheetId="5" hidden="1">'[5]#REF'!#REF!</definedName>
    <definedName name="_4__123Graph_ASS6_A" hidden="1">#REF!</definedName>
    <definedName name="_5__123Graph_ASTD_A" localSheetId="5" hidden="1">[5]WEEKLYVLS!#REF!</definedName>
    <definedName name="_5__123Graph_ASTD_A" hidden="1">#REF!</definedName>
    <definedName name="_6__123Graph_BCHART_5" localSheetId="5" hidden="1">#REF!</definedName>
    <definedName name="_6__123Graph_BCHART_5" hidden="1">#REF!</definedName>
    <definedName name="_7__123Graph_BINVAR_A" localSheetId="5" hidden="1">[5]WEEKLYVLS!#REF!</definedName>
    <definedName name="_7__123Graph_BINVAR_A" hidden="1">#REF!</definedName>
    <definedName name="_8__123Graph_BSS5_A" localSheetId="5" hidden="1">'[5]#REF'!#REF!</definedName>
    <definedName name="_8__123Graph_BSS5_A" hidden="1">#REF!</definedName>
    <definedName name="_9__123Graph_BSS6_A" localSheetId="5" hidden="1">'[5]#REF'!#REF!</definedName>
    <definedName name="_9__123Graph_BSS6_A" hidden="1">#REF!</definedName>
    <definedName name="_a10" localSheetId="5" hidden="1">{"SUMM",#N/A,TRUE,"C";"ACT_PROD",#N/A,TRUE,"A";"ACT_SHIP",#N/A,TRUE,"A";"BP_YLD",#N/A,TRUE,"B";"ACTZ_PROD",#N/A,TRUE,"D";"ACTZ_SHIP",#N/A,TRUE,"D";"ACTZ_YLD",#N/A,TRUE,"E";"CPSI_PROD",#N/A,TRUE,"F";"CPSI_SHIP",#N/A,TRUE,"F"}</definedName>
    <definedName name="_a10" hidden="1">{"SUMM",#N/A,TRUE,"C";"ACT_PROD",#N/A,TRUE,"A";"ACT_SHIP",#N/A,TRUE,"A";"BP_YLD",#N/A,TRUE,"B";"ACTZ_PROD",#N/A,TRUE,"D";"ACTZ_SHIP",#N/A,TRUE,"D";"ACTZ_YLD",#N/A,TRUE,"E";"CPSI_PROD",#N/A,TRUE,"F";"CPSI_SHIP",#N/A,TRUE,"F"}</definedName>
    <definedName name="_a3" localSheetId="5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3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4" localSheetId="5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_a4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_a5" localSheetId="5" hidden="1">{"andy_p",#N/A,FALSE,"A";"andy_s",#N/A,FALSE,"A"}</definedName>
    <definedName name="_a5" hidden="1">{"andy_p",#N/A,FALSE,"A";"andy_s",#N/A,FALSE,"A"}</definedName>
    <definedName name="_a6" localSheetId="5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6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a7" localSheetId="5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7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_a8" localSheetId="5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_a8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_a9" localSheetId="5" hidden="1">{"SUMM",#N/A,TRUE,"C";"ACT_PROD",#N/A,TRUE,"A";"ACT_SHIP",#N/A,TRUE,"A";"BP_YLD",#N/A,TRUE,"B";"ACTZ_PROD",#N/A,TRUE,"D";"ACTZ_SHIP",#N/A,TRUE,"D";"ACTZ_YLD",#N/A,TRUE,"E";"CPSI_PROD",#N/A,TRUE,"F";"CPSI_SHIP",#N/A,TRUE,"F"}</definedName>
    <definedName name="_a9" hidden="1">{"SUMM",#N/A,TRUE,"C";"ACT_PROD",#N/A,TRUE,"A";"ACT_SHIP",#N/A,TRUE,"A";"BP_YLD",#N/A,TRUE,"B";"ACTZ_PROD",#N/A,TRUE,"D";"ACTZ_SHIP",#N/A,TRUE,"D";"ACTZ_YLD",#N/A,TRUE,"E";"CPSI_PROD",#N/A,TRUE,"F";"CPSI_SHIP",#N/A,TRUE,"F"}</definedName>
    <definedName name="_aa1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4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5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6004FBD6AA1111D6B64C0003478F0654.edm" hidden="1">#REF!</definedName>
    <definedName name="_bdm.E56501595E8D45A7B0B0285FE1383E71.edm" localSheetId="5" hidden="1">#REF!</definedName>
    <definedName name="_bdm.E56501595E8D45A7B0B0285FE1383E71.edm" hidden="1">#REF!</definedName>
    <definedName name="_bdm.FastTrackBookmark.6_17_2009_5_16_54_PM.edm" localSheetId="5" hidden="1">[8]ARL!$H$9,[8]ARL!$H$11,[8]ARL!$H$16,[8]ARL!#REF!,[8]ARL!$H$24,[8]ARL!$H$28,[8]ARL!$A$28:$H$28</definedName>
    <definedName name="_bdm.FastTrackBookmark.6_17_2009_5_16_54_PM.edm" hidden="1">#REF!,#REF!,#REF!,#REF!,#REF!,#REF!,#REF!</definedName>
    <definedName name="_bdm.FastTrackBookmark.6_17_2009_5_16_55_PM.edm" localSheetId="5" hidden="1">[8]ARL!$H$9,[8]ARL!$H$11,[8]ARL!$H$16,[8]ARL!#REF!,[8]ARL!$H$24,[8]ARL!$H$28,[8]ARL!$A$28:$H$28</definedName>
    <definedName name="_bdm.FastTrackBookmark.6_17_2009_5_16_55_PM.edm" hidden="1">#REF!,#REF!,#REF!,#REF!,#REF!,#REF!,#REF!</definedName>
    <definedName name="_BIO1" localSheetId="5" hidden="1">{"toc1",#N/A,FALSE,"TOC";"cover",#N/A,FALSE,"Cover";"ts1",#N/A,FALSE,"Transaction Summary";"ei3",#N/A,FALSE,"Earnings Impact";"ad3",#N/A,FALSE,"accretion dilution"}</definedName>
    <definedName name="_BIO1" hidden="1">{"toc1",#N/A,FALSE,"TOC";"cover",#N/A,FALSE,"Cover";"ts1",#N/A,FALSE,"Transaction Summary";"ei3",#N/A,FALSE,"Earnings Impact";"ad3",#N/A,FALSE,"accretion dilution"}</definedName>
    <definedName name="_cvb2" localSheetId="5" hidden="1">{"toc1",#N/A,FALSE,"TOC";"cover",#N/A,FALSE,"Cover";"ts1",#N/A,FALSE,"Transaction Summary";"ei3",#N/A,FALSE,"Earnings Impact";"ad3",#N/A,FALSE,"accretion dilution"}</definedName>
    <definedName name="_cvb2" hidden="1">{"toc1",#N/A,FALSE,"TOC";"cover",#N/A,FALSE,"Cover";"ts1",#N/A,FALSE,"Transaction Summary";"ei3",#N/A,FALSE,"Earnings Impact";"ad3",#N/A,FALSE,"accretion dilution"}</definedName>
    <definedName name="_fff2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fff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_fgt2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_fgt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_ggg2" localSheetId="5" hidden="1">{"View1",#N/A,FALSE,"Sheet1";"View2",#N/A,FALSE,"Sheet1"}</definedName>
    <definedName name="_ggg2" hidden="1">{"View1",#N/A,FALSE,"Sheet1";"View2",#N/A,FALSE,"Sheet1"}</definedName>
    <definedName name="_GR3" localSheetId="5" hidden="1">{"Informes",#N/A,FALSE,"CA";"Informes",#N/A,FALSE,"CN";"Informes",#N/A,FALSE,"INVERSIONES";"Informes",#N/A,FALSE,"CN Oficial";"Informes",#N/A,FALSE,"CA Oficial";"Informes",#N/A,FALSE,"Res Datos Areas"}</definedName>
    <definedName name="_GR3" hidden="1">{"Informes",#N/A,FALSE,"CA";"Informes",#N/A,FALSE,"CN";"Informes",#N/A,FALSE,"INVERSIONES";"Informes",#N/A,FALSE,"CN Oficial";"Informes",#N/A,FALSE,"CA Oficial";"Informes",#N/A,FALSE,"Res Datos Areas"}</definedName>
    <definedName name="_GSRATES_1" hidden="1">"CT300001Latest          "</definedName>
    <definedName name="_GSRATES_2" hidden="1">"CT30000120040521        "</definedName>
    <definedName name="_GSRATES_COUNT" hidden="1">2</definedName>
    <definedName name="_GSRATESR_1" hidden="1">#REF!</definedName>
    <definedName name="_GSRATESR_2" localSheetId="5" hidden="1">#REF!</definedName>
    <definedName name="_GSRATESR_2" hidden="1">#REF!</definedName>
    <definedName name="_IV163878" localSheetId="5">#REF!</definedName>
    <definedName name="_IV163878">#REF!</definedName>
    <definedName name="_IV73878" localSheetId="5">#REF!</definedName>
    <definedName name="_IV73878">#REF!</definedName>
    <definedName name="_IV95016" localSheetId="5">#REF!</definedName>
    <definedName name="_IV95016">#REF!</definedName>
    <definedName name="_Key1" localSheetId="5" hidden="1">[9]ROLLUP!$AP$13</definedName>
    <definedName name="_Key1" hidden="1">#REF!</definedName>
    <definedName name="_Key2" localSheetId="5" hidden="1">[10]MIETTW!#REF!</definedName>
    <definedName name="_Key2" hidden="1">#REF!</definedName>
    <definedName name="_M6" localSheetId="5" hidden="1">{"SUMM",#N/A,TRUE,"C";"ACT_PROD",#N/A,TRUE,"A";"ACT_SHIP",#N/A,TRUE,"A";"BP_YLD",#N/A,TRUE,"B";"ACTZ_PROD",#N/A,TRUE,"D";"ACTZ_SHIP",#N/A,TRUE,"D";"ACTZ_YLD",#N/A,TRUE,"E";"CPSI_PROD",#N/A,TRUE,"F";"CPSI_SHIP",#N/A,TRUE,"F"}</definedName>
    <definedName name="_M6" hidden="1">{"SUMM",#N/A,TRUE,"C";"ACT_PROD",#N/A,TRUE,"A";"ACT_SHIP",#N/A,TRUE,"A";"BP_YLD",#N/A,TRUE,"B";"ACTZ_PROD",#N/A,TRUE,"D";"ACTZ_SHIP",#N/A,TRUE,"D";"ACTZ_YLD",#N/A,TRUE,"E";"CPSI_PROD",#N/A,TRUE,"F";"CPSI_SHIP",#N/A,TRUE,"F"}</definedName>
    <definedName name="_MRG2" localSheetId="5" hidden="1">{"INCOME",#N/A,FALSE,"ProNet";"VALUE",#N/A,FALSE,"ProNet"}</definedName>
    <definedName name="_MRG2" hidden="1">{"INCOME",#N/A,FALSE,"ProNet";"VALUE",#N/A,FALSE,"ProNet"}</definedName>
    <definedName name="_Order1" hidden="1">0</definedName>
    <definedName name="_Order2" hidden="1">255</definedName>
    <definedName name="_P21" localSheetId="5" hidden="1">{"Cover",#N/A,FALSE,"Cover";"Summary",#N/A,FALSE,"Summarpage"}</definedName>
    <definedName name="_P21" hidden="1">{"Cover",#N/A,FALSE,"Cover";"Summary",#N/A,FALSE,"Summarpage"}</definedName>
    <definedName name="_R" localSheetId="5" hidden="1">'[5]KPIs VLS'!$C$98:$C$104</definedName>
    <definedName name="_R" hidden="1">#REF!</definedName>
    <definedName name="_Sort" localSheetId="5" hidden="1">[9]ROLLUP!$C$13:$DN$13</definedName>
    <definedName name="_Sort" hidden="1">#REF!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In1" localSheetId="5" hidden="1">#REF!</definedName>
    <definedName name="_Table2_In1" hidden="1">#REF!</definedName>
    <definedName name="_Table2_In2" localSheetId="5" hidden="1">[11]Assumptions!#REF!</definedName>
    <definedName name="_Table2_In2" hidden="1">#REF!</definedName>
    <definedName name="_Table2_Out" localSheetId="5" hidden="1">#REF!</definedName>
    <definedName name="_Table2_Out" hidden="1">#REF!</definedName>
    <definedName name="_wer33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a">#REF!</definedName>
    <definedName name="aaa" localSheetId="5" hidden="1">{#N/A,#N/A,FALSE,"Model";#N/A,#N/A,FALSE,"Division"}</definedName>
    <definedName name="aaa" hidden="1">{#N/A,#N/A,FALSE,"Model";#N/A,#N/A,FALSE,"Division"}</definedName>
    <definedName name="aaaa">#REF!</definedName>
    <definedName name="aaaaaaa" localSheetId="5" hidden="1">{"Outflow 1",#N/A,FALSE,"Outflows-Inflows";"Outflow 2",#N/A,FALSE,"Outflows-Inflows";"Inflow 1",#N/A,FALSE,"Outflows-Inflows";"Inflow 2",#N/A,FALSE,"Outflows-Inflows"}</definedName>
    <definedName name="aaaaaaa" hidden="1">{"Outflow 1",#N/A,FALSE,"Outflows-Inflows";"Outflow 2",#N/A,FALSE,"Outflows-Inflows";"Inflow 1",#N/A,FALSE,"Outflows-Inflows";"Inflow 2",#N/A,FALSE,"Outflows-Inflows"}</definedName>
    <definedName name="aasdfa" localSheetId="5" hidden="1">{"rtn",#N/A,FALSE,"RTN";"tables",#N/A,FALSE,"RTN";"cf",#N/A,FALSE,"CF";"stats",#N/A,FALSE,"Stats";"prop",#N/A,FALSE,"Prop"}</definedName>
    <definedName name="aasdfa" hidden="1">{"rtn",#N/A,FALSE,"RTN";"tables",#N/A,FALSE,"RTN";"cf",#N/A,FALSE,"CF";"stats",#N/A,FALSE,"Stats";"prop",#N/A,FALSE,"Prop"}</definedName>
    <definedName name="AcquestDateTitle">#REF!</definedName>
    <definedName name="AddressTitle" localSheetId="5">#REF!</definedName>
    <definedName name="AddressTitle">#REF!</definedName>
    <definedName name="adress" localSheetId="5">#REF!</definedName>
    <definedName name="adress">#REF!</definedName>
    <definedName name="adsf" hidden="1">#N/A</definedName>
    <definedName name="AE_oversikt_trapping_kontraktsobjekter" localSheetId="5">#REF!</definedName>
    <definedName name="AE_oversikt_trapping_kontraktsobjekter">#REF!</definedName>
    <definedName name="AFKKKKK" localSheetId="5" hidden="1">#REF!</definedName>
    <definedName name="AFKKKKK" hidden="1">#REF!</definedName>
    <definedName name="AJTASBASE" localSheetId="5">#REF!</definedName>
    <definedName name="AJTASBASE">#REF!</definedName>
    <definedName name="ANDEL_1OR" localSheetId="5">#REF!</definedName>
    <definedName name="ANDEL_1OR">#REF!</definedName>
    <definedName name="ANDEL_2OR" localSheetId="5">#REF!</definedName>
    <definedName name="ANDEL_2OR">#REF!</definedName>
    <definedName name="ANDEL_3OR" localSheetId="5">#REF!</definedName>
    <definedName name="ANDEL_3OR">#REF!</definedName>
    <definedName name="ANDEL_4OR" localSheetId="5">#REF!</definedName>
    <definedName name="ANDEL_4OR">#REF!</definedName>
    <definedName name="anscount" hidden="1">3</definedName>
    <definedName name="ANTALGARAGE" localSheetId="5">#REF!</definedName>
    <definedName name="ANTALGARAGE">#REF!</definedName>
    <definedName name="ANTALLGH" localSheetId="5">#REF!</definedName>
    <definedName name="ANTALLGH">#REF!</definedName>
    <definedName name="ANTALP" localSheetId="5">#REF!</definedName>
    <definedName name="ANTALP">#REF!</definedName>
    <definedName name="area" localSheetId="5">#REF!</definedName>
    <definedName name="area">#REF!</definedName>
    <definedName name="AreaCode1" localSheetId="5">#REF!</definedName>
    <definedName name="AreaCode1">#REF!</definedName>
    <definedName name="AreaTitle" localSheetId="5">#REF!</definedName>
    <definedName name="AreaTitle">#REF!</definedName>
    <definedName name="AreaTitleAreaCode1" localSheetId="5">#REF!</definedName>
    <definedName name="AreaTitleAreaCode1">#REF!</definedName>
    <definedName name="as" localSheetId="5" hidden="1">{"Outflow 1",#N/A,FALSE,"Outflows-Inflows";"Outflow 2",#N/A,FALSE,"Outflows-Inflows";"Inflow 1",#N/A,FALSE,"Outflows-Inflows";"Inflow 2",#N/A,FALSE,"Outflows-Inflows"}</definedName>
    <definedName name="as" hidden="1">{"Outflow 1",#N/A,FALSE,"Outflows-Inflows";"Outflow 2",#N/A,FALSE,"Outflows-Inflows";"Inflow 1",#N/A,FALSE,"Outflows-Inflows";"Inflow 2",#N/A,FALSE,"Outflows-Inflows"}</definedName>
    <definedName name="asdasd" localSheetId="5" hidden="1">{"toc1",#N/A,FALSE,"TOC";"cover",#N/A,FALSE,"Cover";"ts1",#N/A,FALSE,"Transaction Summary";"ei3",#N/A,FALSE,"Earnings Impact";"ad3",#N/A,FALSE,"accretion dilution"}</definedName>
    <definedName name="asdasd" hidden="1">{"toc1",#N/A,FALSE,"TOC";"cover",#N/A,FALSE,"Cover";"ts1",#N/A,FALSE,"Transaction Summary";"ei3",#N/A,FALSE,"Earnings Impact";"ad3",#N/A,FALSE,"accretion dilution"}</definedName>
    <definedName name="asdf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sd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asdfas" localSheetId="5" hidden="1">{"print 1.6",#N/A,FALSE,"Sheet1";"print 2.6",#N/A,FALSE,"Sheet1";"print 3.6",#N/A,FALSE,"Sheet1";"print 4.6",#N/A,FALSE,"Sheet1";"print 5.6",#N/A,FALSE,"Sheet1";"print 6.6",#N/A,FALSE,"Sheet1"}</definedName>
    <definedName name="asdfas" hidden="1">{"print 1.6",#N/A,FALSE,"Sheet1";"print 2.6",#N/A,FALSE,"Sheet1";"print 3.6",#N/A,FALSE,"Sheet1";"print 4.6",#N/A,FALSE,"Sheet1";"print 5.6",#N/A,FALSE,"Sheet1";"print 6.6",#N/A,FALSE,"Sheet1"}</definedName>
    <definedName name="asdfasaa" localSheetId="5" hidden="1">{"print 1.6",#N/A,FALSE,"Sheet1";"print 2.6",#N/A,FALSE,"Sheet1";"print 3.6",#N/A,FALSE,"Sheet1";"print 4.6",#N/A,FALSE,"Sheet1";"print 5.6",#N/A,FALSE,"Sheet1";"print 6.6",#N/A,FALSE,"Sheet1"}</definedName>
    <definedName name="asdfasaa" hidden="1">{"print 1.6",#N/A,FALSE,"Sheet1";"print 2.6",#N/A,FALSE,"Sheet1";"print 3.6",#N/A,FALSE,"Sheet1";"print 4.6",#N/A,FALSE,"Sheet1";"print 5.6",#N/A,FALSE,"Sheet1";"print 6.6",#N/A,FALSE,"Sheet1"}</definedName>
    <definedName name="asdfasdf" localSheetId="5" hidden="1">{"rtn",#N/A,FALSE,"RTN";"tables",#N/A,FALSE,"RTN";"cf",#N/A,FALSE,"CF";"stats",#N/A,FALSE,"Stats";"prop",#N/A,FALSE,"Prop"}</definedName>
    <definedName name="asdfasdf" hidden="1">{"rtn",#N/A,FALSE,"RTN";"tables",#N/A,FALSE,"RTN";"cf",#N/A,FALSE,"CF";"stats",#N/A,FALSE,"Stats";"prop",#N/A,FALSE,"Prop"}</definedName>
    <definedName name="asdfg" localSheetId="5">#REF!</definedName>
    <definedName name="asfag2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g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sg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fasg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ass" localSheetId="5" hidden="1">{"print 1.6",#N/A,FALSE,"Sheet1";"print 2.6",#N/A,FALSE,"Sheet1";"print 3.6",#N/A,FALSE,"Sheet1";"print 4.6",#N/A,FALSE,"Sheet1";"print 5.6",#N/A,FALSE,"Sheet1";"print 6.6",#N/A,FALSE,"Sheet1"}</definedName>
    <definedName name="ass" hidden="1">{"print 1.6",#N/A,FALSE,"Sheet1";"print 2.6",#N/A,FALSE,"Sheet1";"print 3.6",#N/A,FALSE,"Sheet1";"print 4.6",#N/A,FALSE,"Sheet1";"print 5.6",#N/A,FALSE,"Sheet1";"print 6.6",#N/A,FALSE,"Sheet1"}</definedName>
    <definedName name="asss" localSheetId="5" hidden="1">{"rtn",#N/A,FALSE,"RTN";"tables",#N/A,FALSE,"RTN";"cf",#N/A,FALSE,"CF";"stats",#N/A,FALSE,"Stats";"prop",#N/A,FALSE,"Prop"}</definedName>
    <definedName name="asss" hidden="1">{"rtn",#N/A,FALSE,"RTN";"tables",#N/A,FALSE,"RTN";"cf",#N/A,FALSE,"CF";"stats",#N/A,FALSE,"Stats";"prop",#N/A,FALSE,"Prop"}</definedName>
    <definedName name="avgald">#REF!</definedName>
    <definedName name="az" localSheetId="5" hidden="1">{#N/A,#N/A,FALSE,"Trans Summary";#N/A,#N/A,FALSE,"Proforma Five Yr";#N/A,#N/A,FALSE,"Occ and Rate"}</definedName>
    <definedName name="az" hidden="1">{#N/A,#N/A,FALSE,"Trans Summary";#N/A,#N/A,FALSE,"Proforma Five Yr";#N/A,#N/A,FALSE,"Occ and Rate"}</definedName>
    <definedName name="Balanse">#REF!</definedName>
    <definedName name="Balansen" localSheetId="5">#REF!</definedName>
    <definedName name="Balansen">#REF!</definedName>
    <definedName name="BalanseX" localSheetId="5">#REF!</definedName>
    <definedName name="BalanseX">#REF!</definedName>
    <definedName name="BaseValueTitle" localSheetId="5">#REF!</definedName>
    <definedName name="BaseValueTitle">#REF!</definedName>
    <definedName name="bastax" localSheetId="5">#REF!</definedName>
    <definedName name="bastax">#REF!</definedName>
    <definedName name="BOA" localSheetId="5">#REF!</definedName>
    <definedName name="BOA">#REF!</definedName>
    <definedName name="BOALOA" localSheetId="5">#REF!</definedName>
    <definedName name="BOALOA">#REF!</definedName>
    <definedName name="BTA" localSheetId="5">#REF!</definedName>
    <definedName name="BTA">#REF!</definedName>
    <definedName name="BTAo" localSheetId="5">#REF!</definedName>
    <definedName name="BTAo">#REF!</definedName>
    <definedName name="Buroflache" localSheetId="5">[12]!Buroflache</definedName>
    <definedName name="Buroflache">#REF!</definedName>
    <definedName name="Bürofläche" localSheetId="5">[12]!Bürofläche</definedName>
    <definedName name="Bürofläche">#REF!</definedName>
    <definedName name="ccc" localSheetId="5" hidden="1">{#N/A,#N/A,FALSE,"LoanAssumptions"}</definedName>
    <definedName name="ccc" hidden="1">{#N/A,#N/A,FALSE,"LoanAssumptions"}</definedName>
    <definedName name="ChartCaptions">#REF!</definedName>
    <definedName name="ChartCaptions2" localSheetId="5">#REF!</definedName>
    <definedName name="ChartCaptions2">#REF!</definedName>
    <definedName name="ChartingArea" localSheetId="5">#REF!,#REF!</definedName>
    <definedName name="ChartingArea">#REF!,#REF!</definedName>
    <definedName name="ChartingLabels" localSheetId="5">#REF!</definedName>
    <definedName name="ChartingLabels">#REF!</definedName>
    <definedName name="construction" localSheetId="5" hidden="1">{"Construction Costs",#N/A,FALSE,"Total Costs"}</definedName>
    <definedName name="construction" hidden="1">{"Construction Costs",#N/A,FALSE,"Total Costs"}</definedName>
    <definedName name="Contracts" localSheetId="5">'[13]Rent roll'!$K$6:$K$8</definedName>
    <definedName name="Contracts">#REF!</definedName>
    <definedName name="Cottage" localSheetId="5" hidden="1">{"cot1",#N/A,FALSE,"Cottages";"cot2",#N/A,FALSE,"Cottages";"cot3",#N/A,FALSE,"Cottages"}</definedName>
    <definedName name="Cottage" hidden="1">{"cot1",#N/A,FALSE,"Cottages";"cot2",#N/A,FALSE,"Cottages";"cot3",#N/A,FALSE,"Cottages"}</definedName>
    <definedName name="CountryTitle">#REF!</definedName>
    <definedName name="CountyTitle" localSheetId="5">#REF!</definedName>
    <definedName name="CountyTitle">#REF!</definedName>
    <definedName name="CURRENCY" localSheetId="5">#REF!</definedName>
    <definedName name="CURRENCY">#REF!</definedName>
    <definedName name="CurrLabel" localSheetId="5">#REF!</definedName>
    <definedName name="CurrLabel">#REF!</definedName>
    <definedName name="cvb" localSheetId="5" hidden="1">{"toc1",#N/A,FALSE,"TOC";"cover",#N/A,FALSE,"Cover";"ts1",#N/A,FALSE,"Transaction Summary";"ei3",#N/A,FALSE,"Earnings Impact";"ad3",#N/A,FALSE,"accretion dilution"}</definedName>
    <definedName name="cvb" hidden="1">{"toc1",#N/A,FALSE,"TOC";"cover",#N/A,FALSE,"Cover";"ts1",#N/A,FALSE,"Transaction Summary";"ei3",#N/A,FALSE,"Earnings Impact";"ad3",#N/A,FALSE,"accretion dilution"}</definedName>
    <definedName name="Data">#REF!</definedName>
    <definedName name="_xlnm.Database" localSheetId="5">#REF!</definedName>
    <definedName name="_xlnm.Database">#REF!</definedName>
    <definedName name="Datafelt" localSheetId="5">#REF!</definedName>
    <definedName name="Datafelt">#REF!</definedName>
    <definedName name="Date" localSheetId="5">#REF!</definedName>
    <definedName name="Date">#REF!</definedName>
    <definedName name="DateTime" localSheetId="5">#REF!</definedName>
    <definedName name="DateTime">#REF!</definedName>
    <definedName name="dc" localSheetId="5" hidden="1">{#N/A,#N/A,FALSE,"Proforma Five Yr";#N/A,#N/A,FALSE,"Capital Input";#N/A,#N/A,FALSE,"Calculations";#N/A,#N/A,FALSE,"Transaction Summary-DTW"}</definedName>
    <definedName name="dc" hidden="1">{#N/A,#N/A,FALSE,"Proforma Five Yr";#N/A,#N/A,FALSE,"Capital Input";#N/A,#N/A,FALSE,"Calculations";#N/A,#N/A,FALSE,"Transaction Summary-DTW"}</definedName>
    <definedName name="de" localSheetId="5">[12]!de</definedName>
    <definedName name="de">#REF!</definedName>
    <definedName name="del" localSheetId="5" hidden="1">{"Page1",#N/A,FALSE,"7979";"Page2",#N/A,FALSE,"7979";"Page3",#N/A,FALSE,"7979"}</definedName>
    <definedName name="del" hidden="1">{"Page1",#N/A,FALSE,"7979";"Page2",#N/A,FALSE,"7979";"Page3",#N/A,FALSE,"7979"}</definedName>
    <definedName name="delete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let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g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dfg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dfgt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fgt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irektavk">#REF!</definedName>
    <definedName name="DIREKTAVK_YIELD" localSheetId="5">#REF!</definedName>
    <definedName name="DIREKTAVK_YIELD">#REF!</definedName>
    <definedName name="DoU" localSheetId="5">#REF!</definedName>
    <definedName name="DoU">#REF!</definedName>
    <definedName name="DoU_GARAGE" localSheetId="5">#REF!</definedName>
    <definedName name="DoU_GARAGE">#REF!</definedName>
    <definedName name="DoU_PARKERING" localSheetId="5">#REF!</definedName>
    <definedName name="DoU_PARKERING">#REF!</definedName>
    <definedName name="douh" localSheetId="5">#REF!</definedName>
    <definedName name="douh">#REF!</definedName>
    <definedName name="DRA" localSheetId="5">#REF!</definedName>
    <definedName name="DRA">#REF!</definedName>
    <definedName name="DRB" localSheetId="5">#REF!</definedName>
    <definedName name="DRB">#REF!</definedName>
    <definedName name="DRC" localSheetId="5">#REF!</definedName>
    <definedName name="DRC">#REF!</definedName>
    <definedName name="DRE" localSheetId="5">#REF!</definedName>
    <definedName name="DRE">#REF!</definedName>
    <definedName name="drg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rg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riftsnetto">#REF!</definedName>
    <definedName name="DRX" localSheetId="5">#REF!</definedName>
    <definedName name="DRX">#REF!</definedName>
    <definedName name="ds" localSheetId="5">[12]!ds</definedName>
    <definedName name="ds">#REF!</definedName>
    <definedName name="dsaf" localSheetId="5">#REF!</definedName>
    <definedName name="dsaf">#REF!</definedName>
    <definedName name="dz" localSheetId="5">#REF!</definedName>
    <definedName name="dz">#REF!</definedName>
    <definedName name="EBITDA_Bridge" localSheetId="5">#REF!</definedName>
    <definedName name="EBITDA_Bridge">#REF!</definedName>
    <definedName name="eh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h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nd">#REF!</definedName>
    <definedName name="er" localSheetId="5" hidden="1">{"demand",#N/A,FALSE,"Sheet3";"Market Mix",#N/A,FALSE,"Sheet4";"Occ Projection",#N/A,FALSE,"Sheet6"}</definedName>
    <definedName name="er" hidden="1">{"demand",#N/A,FALSE,"Sheet3";"Market Mix",#N/A,FALSE,"Sheet4";"Occ Projection",#N/A,FALSE,"Sheet6"}</definedName>
    <definedName name="ERROR" localSheetId="5" hidden="1">{"EUUTIGRP","COMPANIES",TRUE}</definedName>
    <definedName name="ERROR" hidden="1">{"EUUTIGRP","COMPANIES",TRUE}</definedName>
    <definedName name="ERROR2" localSheetId="5" hidden="1">{"FTSE100","COMPANIES",TRUE}</definedName>
    <definedName name="ERROR2" hidden="1">{"FTSE100","COMPANIES",TRUE}</definedName>
    <definedName name="esnrc100c1_values" localSheetId="5" hidden="1">{"FTSE100","COMPANIES",TRUE}</definedName>
    <definedName name="esnrc100c1_values" hidden="1">{"FTSE100","COMPANIES",TRUE}</definedName>
    <definedName name="esnrc1c1" localSheetId="5" hidden="1">'[14]Sheet 1'!#REF!</definedName>
    <definedName name="esnrc1c1" hidden="1">#REF!</definedName>
    <definedName name="esnrc20c1" localSheetId="5" hidden="1">'[14]Sheet 1'!#REF!</definedName>
    <definedName name="esnrc20c1" hidden="1">#REF!</definedName>
    <definedName name="esnrc25c1" localSheetId="5" hidden="1">'[14]Sheet 1'!$F$5</definedName>
    <definedName name="esnrc25c1" hidden="1">#REF!</definedName>
    <definedName name="esnrc33c1_values" localSheetId="5" hidden="1">{"EUMOT","COMPANIES",TRUE}</definedName>
    <definedName name="esnrc33c1_values" hidden="1">{"EUMOT","COMPANIES",TRUE}</definedName>
    <definedName name="esnrc56c1_values" localSheetId="5" hidden="1">{"ASCONGRP","COMPANIES",TRUE}</definedName>
    <definedName name="esnrc56c1_values" hidden="1">{"ASCONGRP","COMPANIES",TRUE}</definedName>
    <definedName name="esnrc63c1_values" localSheetId="5" hidden="1">{"EUUTIGRP","COMPANIES",TRUE}</definedName>
    <definedName name="esnrc63c1_values" hidden="1">{"EUUTIGRP","COMPANIES",TRUE}</definedName>
    <definedName name="esnrc91c1_values" localSheetId="5" hidden="1">{"EUUTI","COMPANIES",TRUE}</definedName>
    <definedName name="esnrc91c1_values" hidden="1">{"EUUTI","COMPANIES",TRUE}</definedName>
    <definedName name="EstateNameTitle">#REF!</definedName>
    <definedName name="EV__LASTREFTIME__" hidden="1">38217.374849537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ExitYieldTitle">#REF!</definedName>
    <definedName name="EXY" localSheetId="5">#REF!</definedName>
    <definedName name="EXY">#REF!</definedName>
    <definedName name="fastighetsbeteckning" localSheetId="5">#REF!</definedName>
    <definedName name="fastighetsbeteckning">#REF!</definedName>
    <definedName name="FASTIGHETSBILDNING" localSheetId="5">#REF!</definedName>
    <definedName name="FASTIGHETSBILDNING">#REF!</definedName>
    <definedName name="fastighetsskatt" localSheetId="5">#REF!</definedName>
    <definedName name="fastighetsskatt">#REF!</definedName>
    <definedName name="fds" localSheetId="5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fds" hidden="1">{"Annual Cash Flows",#N/A,FALSE,"Annual Summary";"qtrl1",#N/A,FALSE,"QTLY Summary";"qtrl2",#N/A,FALSE,"QTLY Summary";"qtrl3",#N/A,FALSE,"QTLY Summary";"qtrl4",#N/A,FALSE,"QTLY Summary";"qtrl5",#N/A,FALSE,"QTLY Summary";"qtrl6",#N/A,FALSE,"QTLY Summary"}</definedName>
    <definedName name="ff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ff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fgdzfbdzfbv" localSheetId="5" hidden="1">{"EUUTIGRP","COMPANIES",TRUE}</definedName>
    <definedName name="fgdzfbdzfbv" hidden="1">{"EUUTIGRP","COMPANIES",TRUE}</definedName>
    <definedName name="fh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h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iller" localSheetId="5" hidden="1">{"Annual Cash Flows",#N/A,FALSE,"Annual Summary"}</definedName>
    <definedName name="filler" hidden="1">{"Annual Cash Flows",#N/A,FALSE,"Annual Summary"}</definedName>
    <definedName name="filler2" localSheetId="5" hidden="1">{"Assumptions",#N/A,FALSE,"Assumptions"}</definedName>
    <definedName name="filler2" hidden="1">{"Assumptions",#N/A,FALSE,"Assumptions"}</definedName>
    <definedName name="filler3" localSheetId="5" hidden="1">{"Construction Costs",#N/A,FALSE,"Total Costs"}</definedName>
    <definedName name="filler3" hidden="1">{"Construction Costs",#N/A,FALSE,"Total Costs"}</definedName>
    <definedName name="FORETAGTEXT">#REF!</definedName>
    <definedName name="FÖRS_KOSTNAD" localSheetId="5">#REF!</definedName>
    <definedName name="FÖRS_KOSTNAD">#REF!</definedName>
    <definedName name="ForwardPropertyTaxTitle" localSheetId="5">#REF!</definedName>
    <definedName name="ForwardPropertyTaxTitle">#REF!</definedName>
    <definedName name="fv" localSheetId="5" hidden="1">{"Project Input",#N/A,FALSE,"Sheet1";"additions",#N/A,FALSE,"Sheet2";"demand",#N/A,FALSE,"Sheet3";"Market Mix",#N/A,FALSE,"Sheet4";"Occ projection",#N/A,FALSE,"Sheet6"}</definedName>
    <definedName name="fv" hidden="1">{"Project Input",#N/A,FALSE,"Sheet1";"additions",#N/A,FALSE,"Sheet2";"demand",#N/A,FALSE,"Sheet3";"Market Mix",#N/A,FALSE,"Sheet4";"Occ projection",#N/A,FALSE,"Sheet6"}</definedName>
    <definedName name="fyCurrencyUnit">#REF!</definedName>
    <definedName name="fySectionName" localSheetId="5">#REF!</definedName>
    <definedName name="fySectionName">#REF!</definedName>
    <definedName name="fySheetName" localSheetId="5">#REF!</definedName>
    <definedName name="fySheetName">#REF!</definedName>
    <definedName name="fySubsectName" localSheetId="5">#REF!</definedName>
    <definedName name="fySubsectName">#REF!</definedName>
    <definedName name="g" localSheetId="5">#REF!</definedName>
    <definedName name="g">#REF!</definedName>
    <definedName name="gb" localSheetId="5" hidden="1">{#N/A,#N/A,FALSE,"Proforma Five Yr";#N/A,#N/A,FALSE,"Occ and Rate";#N/A,#N/A,FALSE,"PF Input";#N/A,#N/A,FALSE,"Hotcomps"}</definedName>
    <definedName name="gb" hidden="1">{#N/A,#N/A,FALSE,"Proforma Five Yr";#N/A,#N/A,FALSE,"Occ and Rate";#N/A,#N/A,FALSE,"PF Input";#N/A,#N/A,FALSE,"Hotcomps"}</definedName>
    <definedName name="gdf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v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g" localSheetId="5" hidden="1">{"View1",#N/A,FALSE,"Sheet1";"View2",#N/A,FALSE,"Sheet1"}</definedName>
    <definedName name="gg" hidden="1">{"View1",#N/A,FALSE,"Sheet1";"View2",#N/A,FALSE,"Sheet1"}</definedName>
    <definedName name="ggg" localSheetId="5" hidden="1">{"View1",#N/A,FALSE,"Sheet1";"View2",#N/A,FALSE,"Sheet1"}</definedName>
    <definedName name="ggg" hidden="1">{"View1",#N/A,FALSE,"Sheet1";"View2",#N/A,FALSE,"Sheet1"}</definedName>
    <definedName name="gggg2" localSheetId="5" hidden="1">{"View1",#N/A,FALSE,"Sheet1";"View2",#N/A,FALSE,"Sheet1"}</definedName>
    <definedName name="gggg2" hidden="1">{"View1",#N/A,FALSE,"Sheet1";"View2",#N/A,FALSE,"Sheet1"}</definedName>
    <definedName name="GroundArea">#REF!</definedName>
    <definedName name="GroundAreaTitle" localSheetId="5">#REF!</definedName>
    <definedName name="GroundAreaTitle">#REF!</definedName>
    <definedName name="Growth" localSheetId="5">'[13]Tenant CF'!$P$5:$P$7</definedName>
    <definedName name="Growth">#REF!</definedName>
    <definedName name="H" localSheetId="5" hidden="1">{"'Normal'!$B$10:$P$43"}</definedName>
    <definedName name="H" hidden="1">{"'Normal'!$B$10:$P$43"}</definedName>
    <definedName name="hei" localSheetId="5" hidden="1">'[5]#REF'!#REF!</definedName>
    <definedName name="hei" hidden="1">#REF!</definedName>
    <definedName name="help" localSheetId="5" hidden="1">{#N/A,#N/A,FALSE,"SUMMARY";#N/A,#N/A,FALSE,"RET ON CAP"}</definedName>
    <definedName name="help" hidden="1">{#N/A,#N/A,FALSE,"SUMMARY";#N/A,#N/A,FALSE,"RET ON CAP"}</definedName>
    <definedName name="hh" localSheetId="5" hidden="1">{#N/A,#N/A,FALSE,"Summary"}</definedName>
    <definedName name="hh" hidden="1">{#N/A,#N/A,FALSE,"Summary"}</definedName>
    <definedName name="hn" localSheetId="5" hidden="1">{#N/A,#N/A,FALSE,"Proforma Five Yr";#N/A,#N/A,FALSE,"Occ and Rate";#N/A,#N/A,FALSE,"PF Input";#N/A,#N/A,FALSE,"Ops Summary";#N/A,#N/A,FALSE,"Hotcomps"}</definedName>
    <definedName name="hn" hidden="1">{#N/A,#N/A,FALSE,"Proforma Five Yr";#N/A,#N/A,FALSE,"Occ and Rate";#N/A,#N/A,FALSE,"PF Input";#N/A,#N/A,FALSE,"Ops Summary";#N/A,#N/A,FALSE,"Hotcomps"}</definedName>
    <definedName name="HRADJ2" localSheetId="5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HRADJ2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HTML_CodePage" hidden="1">1252</definedName>
    <definedName name="HTML_Control" localSheetId="5" hidden="1">{"'Normal'!$B$10:$P$43"}</definedName>
    <definedName name="HTML_Control" hidden="1">{"'Normal'!$B$10:$P$43"}</definedName>
    <definedName name="HTML_Description" hidden="1">""</definedName>
    <definedName name="HTML_Email" hidden="1">""</definedName>
    <definedName name="HTML_Header" hidden="1">"Normal"</definedName>
    <definedName name="HTML_LastUpdate" hidden="1">"01.09.97"</definedName>
    <definedName name="HTML_LineAfter" hidden="1">FALSE</definedName>
    <definedName name="HTML_LineBefore" hidden="1">FALSE</definedName>
    <definedName name="HTML_Name" hidden="1">"Karl Trygve Madsen"</definedName>
    <definedName name="HTML_OBDlg2" hidden="1">TRUE</definedName>
    <definedName name="HTML_OBDlg4" hidden="1">TRUE</definedName>
    <definedName name="HTML_OS" hidden="1">0</definedName>
    <definedName name="HTML_PathFile" hidden="1">"O:\SO_ARC\TEMPLATE\MinHTML.htm"</definedName>
    <definedName name="HTML_Title" hidden="1">"felleskostnader"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yra">#REF!</definedName>
    <definedName name="Hyror" localSheetId="5">#REF!</definedName>
    <definedName name="Hyror">#REF!</definedName>
    <definedName name="hyror1" localSheetId="5">#REF!</definedName>
    <definedName name="hyror1">#REF!</definedName>
    <definedName name="IdeaLink" localSheetId="5">#REF!</definedName>
    <definedName name="IdeaLink">#REF!</definedName>
    <definedName name="In_Acquisitiondate_apartments_Tellus" localSheetId="5">#REF!</definedName>
    <definedName name="In_Acquisitiondate_apartments_Tellus">#REF!</definedName>
    <definedName name="In_Acquisitiondate_fixed1_Tellus" localSheetId="5">#REF!</definedName>
    <definedName name="In_Acquisitiondate_fixed1_Tellus">#REF!</definedName>
    <definedName name="In_Acquisitiondate_fixed2_Tellus" localSheetId="5">#REF!</definedName>
    <definedName name="In_Acquisitiondate_fixed2_Tellus">#REF!</definedName>
    <definedName name="In_Acquisitionprice_apartments_Tellus" localSheetId="5">#REF!</definedName>
    <definedName name="In_Acquisitionprice_apartments_Tellus">#REF!</definedName>
    <definedName name="In_Acquisitionprice_commercial_Tellus" localSheetId="5">#REF!</definedName>
    <definedName name="In_Acquisitionprice_commercial_Tellus">#REF!</definedName>
    <definedName name="In_Acquisitionprice_fixed1_Tellus" localSheetId="5">#REF!</definedName>
    <definedName name="In_Acquisitionprice_fixed1_Tellus">#REF!</definedName>
    <definedName name="In_Acquisitionprice_fixed2_Tellus" localSheetId="5">#REF!</definedName>
    <definedName name="In_Acquisitionprice_fixed2_Tellus">#REF!</definedName>
    <definedName name="In_Admincost_Järla" localSheetId="5">#REF!</definedName>
    <definedName name="In_Admincost_Järla">#REF!</definedName>
    <definedName name="In_Admincost_Metronomen" localSheetId="5">#REF!</definedName>
    <definedName name="In_Admincost_Metronomen">#REF!</definedName>
    <definedName name="In_Admincost_Tellus" localSheetId="5">#REF!</definedName>
    <definedName name="In_Admincost_Tellus">#REF!</definedName>
    <definedName name="In_Apartments_Järla" localSheetId="5">#REF!</definedName>
    <definedName name="In_Apartments_Järla">#REF!</definedName>
    <definedName name="In_Apartments_Metronomen" localSheetId="5">#REF!</definedName>
    <definedName name="In_Apartments_Metronomen">#REF!</definedName>
    <definedName name="In_Apartments_Tellus" localSheetId="5">#REF!</definedName>
    <definedName name="In_Apartments_Tellus">#REF!</definedName>
    <definedName name="In_Bookingagreement_Järla" localSheetId="5">#REF!</definedName>
    <definedName name="In_Bookingagreement_Järla">#REF!</definedName>
    <definedName name="In_Bookingagreement_Metronomen" localSheetId="5">#REF!</definedName>
    <definedName name="In_Bookingagreement_Metronomen">#REF!</definedName>
    <definedName name="In_Bookingagreement_Tellus" localSheetId="5">#REF!</definedName>
    <definedName name="In_Bookingagreement_Tellus">#REF!</definedName>
    <definedName name="In_Bookingagreementfee_Järla" localSheetId="5">#REF!</definedName>
    <definedName name="In_Bookingagreementfee_Järla">#REF!</definedName>
    <definedName name="In_Bookingagreementfee_Metronomen" localSheetId="5">#REF!</definedName>
    <definedName name="In_Bookingagreementfee_Metronomen">#REF!</definedName>
    <definedName name="In_Bookingagreementfee_Tellus" localSheetId="5">#REF!</definedName>
    <definedName name="In_Bookingagreementfee_Tellus">#REF!</definedName>
    <definedName name="In_BRV_Commercial_Järla" localSheetId="5">#REF!</definedName>
    <definedName name="In_BRV_Commercial_Järla">#REF!</definedName>
    <definedName name="In_BRV_Commercial_Metronomen" localSheetId="5">#REF!</definedName>
    <definedName name="In_BRV_Commercial_Metronomen">#REF!</definedName>
    <definedName name="In_BRV_Residential_Järla" localSheetId="5">#REF!</definedName>
    <definedName name="In_BRV_Residential_Järla">#REF!</definedName>
    <definedName name="In_BRV_Residential_Metronomen" localSheetId="5">#REF!</definedName>
    <definedName name="In_BRV_Residential_Metronomen">#REF!</definedName>
    <definedName name="In_Capitalreserve_Järla" localSheetId="5">#REF!</definedName>
    <definedName name="In_Capitalreserve_Järla">#REF!</definedName>
    <definedName name="In_Capitalreserve_Metronomen" localSheetId="5">#REF!</definedName>
    <definedName name="In_Capitalreserve_Metronomen">#REF!</definedName>
    <definedName name="In_Capitalreserve_Tellus" localSheetId="5">#REF!</definedName>
    <definedName name="In_Capitalreserve_Tellus">#REF!</definedName>
    <definedName name="In_Cashtrap_Järla" localSheetId="5">#REF!</definedName>
    <definedName name="In_Cashtrap_Järla">#REF!</definedName>
    <definedName name="In_Cashtrap_Metronomen" localSheetId="5">#REF!</definedName>
    <definedName name="In_Cashtrap_Metronomen">#REF!</definedName>
    <definedName name="In_ConnectionFees_Järla" localSheetId="5">#REF!</definedName>
    <definedName name="In_ConnectionFees_Järla">#REF!</definedName>
    <definedName name="In_ConnectionFees_Metronomen" localSheetId="5">#REF!</definedName>
    <definedName name="In_ConnectionFees_Metronomen">#REF!</definedName>
    <definedName name="In_ConnectionFees_Tellus" localSheetId="5">#REF!</definedName>
    <definedName name="In_ConnectionFees_Tellus">#REF!</definedName>
    <definedName name="In_ConstructionCosts_Järla" localSheetId="5">#REF!</definedName>
    <definedName name="In_ConstructionCosts_Järla">#REF!</definedName>
    <definedName name="In_ConstructionCosts_Metronomen" localSheetId="5">#REF!</definedName>
    <definedName name="In_ConstructionCosts_Metronomen">#REF!</definedName>
    <definedName name="In_ConstructionCosts_Tellus" localSheetId="5">#REF!</definedName>
    <definedName name="In_ConstructionCosts_Tellus">#REF!</definedName>
    <definedName name="In_ConstructionCostsLand_Järla" localSheetId="5">#REF!</definedName>
    <definedName name="In_ConstructionCostsLand_Järla">#REF!</definedName>
    <definedName name="In_ConstructionCostsLand_Metronomen" localSheetId="5">#REF!</definedName>
    <definedName name="In_ConstructionCostsLand_Metronomen">#REF!</definedName>
    <definedName name="In_constructionstartdate_Järla" localSheetId="5">#REF!</definedName>
    <definedName name="In_constructionstartdate_Järla">#REF!</definedName>
    <definedName name="In_constructionstartdate_Metronomen" localSheetId="5">#REF!</definedName>
    <definedName name="In_constructionstartdate_Metronomen">#REF!</definedName>
    <definedName name="In_constructionstartdate_Tellus" localSheetId="5">#REF!</definedName>
    <definedName name="In_constructionstartdate_Tellus">#REF!</definedName>
    <definedName name="In_Costincrease_Järla" localSheetId="5">#REF!</definedName>
    <definedName name="In_Costincrease_Järla">#REF!</definedName>
    <definedName name="In_Costincrease_Metronomen" localSheetId="5">#REF!</definedName>
    <definedName name="In_Costincrease_Metronomen">#REF!</definedName>
    <definedName name="In_Costincrease_Tellus" localSheetId="5">#REF!</definedName>
    <definedName name="In_Costincrease_Tellus">#REF!</definedName>
    <definedName name="In_DeveloperCosts_Järla" localSheetId="5">#REF!</definedName>
    <definedName name="In_DeveloperCosts_Järla">#REF!</definedName>
    <definedName name="In_DeveloperCosts_Metronomen" localSheetId="5">#REF!</definedName>
    <definedName name="In_DeveloperCosts_Metronomen">#REF!</definedName>
    <definedName name="In_DeveloperCosts_Tellus" localSheetId="5">#REF!</definedName>
    <definedName name="In_DeveloperCosts_Tellus">#REF!</definedName>
    <definedName name="In_DevelopmentCosts_Järla" localSheetId="5">#REF!</definedName>
    <definedName name="In_DevelopmentCosts_Järla">#REF!</definedName>
    <definedName name="In_DevelopmentCosts_Metronomen" localSheetId="5">#REF!</definedName>
    <definedName name="In_DevelopmentCosts_Metronomen">#REF!</definedName>
    <definedName name="In_DevelopmentCosts_Tellus" localSheetId="5">#REF!</definedName>
    <definedName name="In_DevelopmentCosts_Tellus">#REF!</definedName>
    <definedName name="In_EquityPG_Järla" localSheetId="5">#REF!</definedName>
    <definedName name="In_EquityPG_Järla">#REF!</definedName>
    <definedName name="In_EquityPG_Metronomen" localSheetId="5">#REF!</definedName>
    <definedName name="In_EquityPG_Metronomen">#REF!</definedName>
    <definedName name="In_EquityPG_Tellus" localSheetId="5">#REF!</definedName>
    <definedName name="In_EquityPG_Tellus">#REF!</definedName>
    <definedName name="In_EquitySSM_Järla" localSheetId="5">#REF!</definedName>
    <definedName name="In_EquitySSM_Järla">#REF!</definedName>
    <definedName name="In_EquitySSM_Metronomen" localSheetId="5">#REF!</definedName>
    <definedName name="In_EquitySSM_Metronomen">#REF!</definedName>
    <definedName name="In_EquitySSM_Tellus" localSheetId="5">#REF!</definedName>
    <definedName name="In_EquitySSM_Tellus">#REF!</definedName>
    <definedName name="In_Hotel_Tellus" localSheetId="5">#REF!</definedName>
    <definedName name="In_Hotel_Tellus">#REF!</definedName>
    <definedName name="In_HudleEM_1_Järla" localSheetId="5">#REF!</definedName>
    <definedName name="In_HudleEM_1_Järla">#REF!</definedName>
    <definedName name="In_HudleEM_1_Metronomen" localSheetId="5">#REF!</definedName>
    <definedName name="In_HudleEM_1_Metronomen">#REF!</definedName>
    <definedName name="In_HudleEM_1_Tellus" localSheetId="5">#REF!</definedName>
    <definedName name="In_HudleEM_1_Tellus">#REF!</definedName>
    <definedName name="In_HudleEM_2_Järla" localSheetId="5">#REF!</definedName>
    <definedName name="In_HudleEM_2_Järla">#REF!</definedName>
    <definedName name="In_HudleEM_2_Metronomen" localSheetId="5">#REF!</definedName>
    <definedName name="In_HudleEM_2_Metronomen">#REF!</definedName>
    <definedName name="In_HudleEM_2_Tellus" localSheetId="5">#REF!</definedName>
    <definedName name="In_HudleEM_2_Tellus">#REF!</definedName>
    <definedName name="In_HudleEM_3_Järla" localSheetId="5">#REF!</definedName>
    <definedName name="In_HudleEM_3_Järla">#REF!</definedName>
    <definedName name="In_HudleEM_3_Metronomen" localSheetId="5">#REF!</definedName>
    <definedName name="In_HudleEM_3_Metronomen">#REF!</definedName>
    <definedName name="In_HudleEM_3_Tellus" localSheetId="5">#REF!</definedName>
    <definedName name="In_HudleEM_3_Tellus">#REF!</definedName>
    <definedName name="In_HudleIRR_1_Järla" localSheetId="5">#REF!</definedName>
    <definedName name="In_HudleIRR_1_Järla">#REF!</definedName>
    <definedName name="In_HudleIRR_1_Metronomen" localSheetId="5">#REF!</definedName>
    <definedName name="In_HudleIRR_1_Metronomen">#REF!</definedName>
    <definedName name="In_HudleIRR_1_Tellus" localSheetId="5">#REF!</definedName>
    <definedName name="In_HudleIRR_1_Tellus">#REF!</definedName>
    <definedName name="In_HudleIRR_2_Järla" localSheetId="5">#REF!</definedName>
    <definedName name="In_HudleIRR_2_Järla">#REF!</definedName>
    <definedName name="In_HudleIRR_2_Metronomen" localSheetId="5">#REF!</definedName>
    <definedName name="In_HudleIRR_2_Metronomen">#REF!</definedName>
    <definedName name="In_HudleIRR_2_Tellus" localSheetId="5">#REF!</definedName>
    <definedName name="In_HudleIRR_2_Tellus">#REF!</definedName>
    <definedName name="In_HudleIRR_3_Järla" localSheetId="5">#REF!</definedName>
    <definedName name="In_HudleIRR_3_Järla">#REF!</definedName>
    <definedName name="In_HudleIRR_3_Metronomen" localSheetId="5">#REF!</definedName>
    <definedName name="In_HudleIRR_3_Metronomen">#REF!</definedName>
    <definedName name="In_HudleIRR_3_Tellus" localSheetId="5">#REF!</definedName>
    <definedName name="In_HudleIRR_3_Tellus">#REF!</definedName>
    <definedName name="In_Impliedcostincrease_Järla" localSheetId="5">#REF!</definedName>
    <definedName name="In_Impliedcostincrease_Järla">#REF!</definedName>
    <definedName name="In_Impliedcostincrease_Metronomen" localSheetId="5">#REF!</definedName>
    <definedName name="In_Impliedcostincrease_Metronomen">#REF!</definedName>
    <definedName name="In_Impliedcostincrease_Tellus" localSheetId="5">#REF!</definedName>
    <definedName name="In_Impliedcostincrease_Tellus">#REF!</definedName>
    <definedName name="In_Indexation_Järla" localSheetId="5">#REF!</definedName>
    <definedName name="In_Indexation_Järla">#REF!</definedName>
    <definedName name="In_Indexation_Metronomen" localSheetId="5">#REF!</definedName>
    <definedName name="In_Indexation_Metronomen">#REF!</definedName>
    <definedName name="In_Indexation_Tellus" localSheetId="5">#REF!</definedName>
    <definedName name="In_Indexation_Tellus">#REF!</definedName>
    <definedName name="In_Interestrateconstruction_Järla" localSheetId="5">#REF!</definedName>
    <definedName name="In_Interestrateconstruction_Järla">#REF!</definedName>
    <definedName name="In_Interestrateconstruction_Metronomen" localSheetId="5">#REF!</definedName>
    <definedName name="In_Interestrateconstruction_Metronomen">#REF!</definedName>
    <definedName name="In_Interestrateconstruction_Tellus" localSheetId="5">#REF!</definedName>
    <definedName name="In_Interestrateconstruction_Tellus">#REF!</definedName>
    <definedName name="In_InterestrateFF_Tellus" localSheetId="5">#REF!</definedName>
    <definedName name="In_InterestrateFF_Tellus">#REF!</definedName>
    <definedName name="In_Interestratemezzanie_Tellus" localSheetId="5">#REF!</definedName>
    <definedName name="In_Interestratemezzanie_Tellus">#REF!</definedName>
    <definedName name="In_Interestratepriortopermit_Järla" localSheetId="5">#REF!</definedName>
    <definedName name="In_Interestratepriortopermit_Järla">#REF!</definedName>
    <definedName name="In_Interestratepriortopermit_Metronomen" localSheetId="5">#REF!</definedName>
    <definedName name="In_Interestratepriortopermit_Metronomen">#REF!</definedName>
    <definedName name="In_Interestrateproperty_Järla" localSheetId="5">#REF!</definedName>
    <definedName name="In_Interestrateproperty_Järla">#REF!</definedName>
    <definedName name="In_Interestrateproperty_Metronomen" localSheetId="5">#REF!</definedName>
    <definedName name="In_Interestrateproperty_Metronomen">#REF!</definedName>
    <definedName name="In_Interestrateproperty_Tellus" localSheetId="5">#REF!</definedName>
    <definedName name="In_Interestrateproperty_Tellus">#REF!</definedName>
    <definedName name="In_Landlease_Tellus" localSheetId="5">#REF!</definedName>
    <definedName name="In_Landlease_Tellus">#REF!</definedName>
    <definedName name="In_Lightcommercial_Järla" localSheetId="5">#REF!</definedName>
    <definedName name="In_Lightcommercial_Järla">#REF!</definedName>
    <definedName name="In_Lightcommercial_Metronomen" localSheetId="5">#REF!</definedName>
    <definedName name="In_Lightcommercial_Metronomen">#REF!</definedName>
    <definedName name="In_Lightresidential_Järla" localSheetId="5">#REF!</definedName>
    <definedName name="In_Lightresidential_Järla">#REF!</definedName>
    <definedName name="In_Lightresidential_Metronomen" localSheetId="5">#REF!</definedName>
    <definedName name="In_Lightresidential_Metronomen">#REF!</definedName>
    <definedName name="In_Livingarea_Järla" localSheetId="5">#REF!</definedName>
    <definedName name="In_Livingarea_Järla">#REF!</definedName>
    <definedName name="In_Livingarea_Metronomen" localSheetId="5">#REF!</definedName>
    <definedName name="In_Livingarea_Metronomen">#REF!</definedName>
    <definedName name="In_Livingarea_Tellus" localSheetId="5">#REF!</definedName>
    <definedName name="In_Livingarea_Tellus">#REF!</definedName>
    <definedName name="In_Loanpriortopermit_Amount_Järla" localSheetId="5">#REF!</definedName>
    <definedName name="In_Loanpriortopermit_Amount_Järla">#REF!</definedName>
    <definedName name="In_Loanpriortopermit_Amount_Metronomen" localSheetId="5">#REF!</definedName>
    <definedName name="In_Loanpriortopermit_Amount_Metronomen">#REF!</definedName>
    <definedName name="In_Loanpriortopermit_End_Järla" localSheetId="5">#REF!</definedName>
    <definedName name="In_Loanpriortopermit_End_Järla">#REF!</definedName>
    <definedName name="In_Loanpriortopermit_End_Metronomen" localSheetId="5">#REF!</definedName>
    <definedName name="In_Loanpriortopermit_End_Metronomen">#REF!</definedName>
    <definedName name="In_Loanpriortopermit_Start_Järla" localSheetId="5">#REF!</definedName>
    <definedName name="In_Loanpriortopermit_Start_Järla">#REF!</definedName>
    <definedName name="In_Loanpriortopermit_Start_Metronomen" localSheetId="5">#REF!</definedName>
    <definedName name="In_Loanpriortopermit_Start_Metronomen">#REF!</definedName>
    <definedName name="In_LTV_ConstructionLoan_Järla" localSheetId="5">#REF!</definedName>
    <definedName name="In_LTV_ConstructionLoan_Järla">#REF!</definedName>
    <definedName name="In_LTV_ConstructionLoan_Metronomen" localSheetId="5">#REF!</definedName>
    <definedName name="In_LTV_ConstructionLoan_Metronomen">#REF!</definedName>
    <definedName name="In_LTV_ConstructionLoan_Tellus" localSheetId="5">#REF!</definedName>
    <definedName name="In_LTV_ConstructionLoan_Tellus">#REF!</definedName>
    <definedName name="In_LTV_Mezzanie_Tellus" localSheetId="5">#REF!</definedName>
    <definedName name="In_LTV_Mezzanie_Tellus">#REF!</definedName>
    <definedName name="In_LTV_Presalespromote_Tellus" localSheetId="5">#REF!</definedName>
    <definedName name="In_LTV_Presalespromote_Tellus">#REF!</definedName>
    <definedName name="In_LTV_PropertyLoan_Järla" localSheetId="5">#REF!</definedName>
    <definedName name="In_LTV_PropertyLoan_Järla">#REF!</definedName>
    <definedName name="In_LTV_PropertyLoan_Metronomen" localSheetId="5">#REF!</definedName>
    <definedName name="In_LTV_PropertyLoan_Metronomen">#REF!</definedName>
    <definedName name="In_LTV_Propertyloan_Tellus" localSheetId="5">#REF!</definedName>
    <definedName name="In_LTV_Propertyloan_Tellus">#REF!</definedName>
    <definedName name="In_Managementfee_Järla" localSheetId="5">#REF!</definedName>
    <definedName name="In_Managementfee_Järla">#REF!</definedName>
    <definedName name="In_Managementfee_Metronomen" localSheetId="5">#REF!</definedName>
    <definedName name="In_Managementfee_Metronomen">#REF!</definedName>
    <definedName name="In_Managementfee_Tellus" localSheetId="5">#REF!</definedName>
    <definedName name="In_Managementfee_Tellus">#REF!</definedName>
    <definedName name="In_Movein1_Järla" localSheetId="5">#REF!</definedName>
    <definedName name="In_Movein1_Järla">#REF!</definedName>
    <definedName name="In_Movein1_Metronomen" localSheetId="5">#REF!</definedName>
    <definedName name="In_Movein1_Metronomen">#REF!</definedName>
    <definedName name="In_Movein1_Tellus" localSheetId="5">#REF!</definedName>
    <definedName name="In_Movein1_Tellus">#REF!</definedName>
    <definedName name="In_Movein1commercialshare_1_Tellus" localSheetId="5">#REF!</definedName>
    <definedName name="In_Movein1commercialshare_1_Tellus">#REF!</definedName>
    <definedName name="In_Movein1share_Järla" localSheetId="5">#REF!</definedName>
    <definedName name="In_Movein1share_Järla">#REF!</definedName>
    <definedName name="In_Movein1share_Metronomen" localSheetId="5">#REF!</definedName>
    <definedName name="In_Movein1share_Metronomen">#REF!</definedName>
    <definedName name="In_Movein1share_Tellus" localSheetId="5">#REF!</definedName>
    <definedName name="In_Movein1share_Tellus">#REF!</definedName>
    <definedName name="In_Movein2_Järla" localSheetId="5">#REF!</definedName>
    <definedName name="In_Movein2_Järla">#REF!</definedName>
    <definedName name="In_Movein2_Metronomen" localSheetId="5">#REF!</definedName>
    <definedName name="In_Movein2_Metronomen">#REF!</definedName>
    <definedName name="In_Movein2_Tellus" localSheetId="5">#REF!</definedName>
    <definedName name="In_Movein2_Tellus">#REF!</definedName>
    <definedName name="In_Movein2commercialshare_2_Tellus" localSheetId="5">#REF!</definedName>
    <definedName name="In_Movein2commercialshare_2_Tellus">#REF!</definedName>
    <definedName name="In_Movein2share_Järla" localSheetId="5">#REF!</definedName>
    <definedName name="In_Movein2share_Järla">#REF!</definedName>
    <definedName name="In_Movein2share_Metronomen" localSheetId="5">#REF!</definedName>
    <definedName name="In_Movein2share_Metronomen">#REF!</definedName>
    <definedName name="In_Movein2share_Tellus" localSheetId="5">#REF!</definedName>
    <definedName name="In_Movein2share_Tellus">#REF!</definedName>
    <definedName name="In_Movein3_Järla" localSheetId="5">#REF!</definedName>
    <definedName name="In_Movein3_Järla">#REF!</definedName>
    <definedName name="In_Movein3_Metronomen" localSheetId="5">#REF!</definedName>
    <definedName name="In_Movein3_Metronomen">#REF!</definedName>
    <definedName name="In_Movein3_Tellus" localSheetId="5">#REF!</definedName>
    <definedName name="In_Movein3_Tellus">#REF!</definedName>
    <definedName name="In_Movein3share_Järla" localSheetId="5">#REF!</definedName>
    <definedName name="In_Movein3share_Järla">#REF!</definedName>
    <definedName name="In_Movein3share_Metronomen" localSheetId="5">#REF!</definedName>
    <definedName name="In_Movein3share_Metronomen">#REF!</definedName>
    <definedName name="In_Movein3share_Tellus" localSheetId="5">#REF!</definedName>
    <definedName name="In_Movein3share_Tellus">#REF!</definedName>
    <definedName name="In_Movein4_Järla" localSheetId="5">#REF!</definedName>
    <definedName name="In_Movein4_Järla">#REF!</definedName>
    <definedName name="In_Movein4_Metronomen" localSheetId="5">#REF!</definedName>
    <definedName name="In_Movein4_Metronomen">#REF!</definedName>
    <definedName name="In_Movein4_Tellus" localSheetId="5">#REF!</definedName>
    <definedName name="In_Movein4_Tellus">#REF!</definedName>
    <definedName name="In_Movein4share_Järla" localSheetId="5">#REF!</definedName>
    <definedName name="In_Movein4share_Järla">#REF!</definedName>
    <definedName name="In_Movein4share_Metronomen" localSheetId="5">#REF!</definedName>
    <definedName name="In_Movein4share_Metronomen">#REF!</definedName>
    <definedName name="In_Movein4share_Tellus" localSheetId="5">#REF!</definedName>
    <definedName name="In_Movein4share_Tellus">#REF!</definedName>
    <definedName name="In_Moveincommercial_1_Tellus" localSheetId="5">#REF!</definedName>
    <definedName name="In_Moveincommercial_1_Tellus">#REF!</definedName>
    <definedName name="In_Moveincommercial_2_Tellus" localSheetId="5">#REF!</definedName>
    <definedName name="In_Moveincommercial_2_Tellus">#REF!</definedName>
    <definedName name="In_Moveingarage_Tellus" localSheetId="5">#REF!</definedName>
    <definedName name="In_Moveingarage_Tellus">#REF!</definedName>
    <definedName name="In_Moveinhotel1_Tellus" localSheetId="5">#REF!</definedName>
    <definedName name="In_Moveinhotel1_Tellus">#REF!</definedName>
    <definedName name="In_Moveinhotel1share_Tellus" localSheetId="5">#REF!</definedName>
    <definedName name="In_Moveinhotel1share_Tellus">#REF!</definedName>
    <definedName name="In_Moveinhotel2_Tellus" localSheetId="5">#REF!</definedName>
    <definedName name="In_Moveinhotel2_Tellus">#REF!</definedName>
    <definedName name="In_Moveinhotel2share_Tellus" localSheetId="5">#REF!</definedName>
    <definedName name="In_Moveinhotel2share_Tellus">#REF!</definedName>
    <definedName name="In_Moveinhotel3_Tellus" localSheetId="5">#REF!</definedName>
    <definedName name="In_Moveinhotel3_Tellus">#REF!</definedName>
    <definedName name="In_Moveinhotel3share_Tellus" localSheetId="5">#REF!</definedName>
    <definedName name="In_Moveinhotel3share_Tellus">#REF!</definedName>
    <definedName name="In_Moveinhotel4_Tellus" localSheetId="5">#REF!</definedName>
    <definedName name="In_Moveinhotel4_Tellus">#REF!</definedName>
    <definedName name="In_Moveinhotel4share_Tellus" localSheetId="5">#REF!</definedName>
    <definedName name="In_Moveinhotel4share_Tellus">#REF!</definedName>
    <definedName name="In_Moveinpreschool_Tellus" localSheetId="5">#REF!</definedName>
    <definedName name="In_Moveinpreschool_Tellus">#REF!</definedName>
    <definedName name="In_OAA_Järla" localSheetId="5">#REF!</definedName>
    <definedName name="In_OAA_Järla">#REF!</definedName>
    <definedName name="In_OAA_Metronomen" localSheetId="5">#REF!</definedName>
    <definedName name="In_OAA_Metronomen">#REF!</definedName>
    <definedName name="In_OAA_Tellus" localSheetId="5">#REF!</definedName>
    <definedName name="In_OAA_Tellus">#REF!</definedName>
    <definedName name="In_OAAHotel_Tellus" localSheetId="5">#REF!</definedName>
    <definedName name="In_OAAHotel_Tellus">#REF!</definedName>
    <definedName name="In_OAL_Järla" localSheetId="5">#REF!</definedName>
    <definedName name="In_OAL_Järla">#REF!</definedName>
    <definedName name="In_OAL_Metronomen" localSheetId="5">#REF!</definedName>
    <definedName name="In_OAL_Metronomen">#REF!</definedName>
    <definedName name="In_OAL_Tellus" localSheetId="5">#REF!</definedName>
    <definedName name="In_OAL_Tellus">#REF!</definedName>
    <definedName name="In_Performancefee_1_Järla" localSheetId="5">#REF!</definedName>
    <definedName name="In_Performancefee_1_Järla">#REF!</definedName>
    <definedName name="In_Performancefee_1_Metronomen" localSheetId="5">#REF!</definedName>
    <definedName name="In_Performancefee_1_Metronomen">#REF!</definedName>
    <definedName name="In_Performancefee_1_Tellus" localSheetId="5">#REF!</definedName>
    <definedName name="In_Performancefee_1_Tellus">#REF!</definedName>
    <definedName name="In_Performancefee_2_Järla" localSheetId="5">#REF!</definedName>
    <definedName name="In_Performancefee_2_Järla">#REF!</definedName>
    <definedName name="In_Performancefee_2_Metronomen" localSheetId="5">#REF!</definedName>
    <definedName name="In_Performancefee_2_Metronomen">#REF!</definedName>
    <definedName name="In_Performancefee_2_Tellus" localSheetId="5">#REF!</definedName>
    <definedName name="In_Performancefee_2_Tellus">#REF!</definedName>
    <definedName name="In_Performancefee_3_Järla" localSheetId="5">#REF!</definedName>
    <definedName name="In_Performancefee_3_Järla">#REF!</definedName>
    <definedName name="In_Performancefee_3_Metronomen" localSheetId="5">#REF!</definedName>
    <definedName name="In_Performancefee_3_Metronomen">#REF!</definedName>
    <definedName name="In_Performancefee_3_Tellus" localSheetId="5">#REF!</definedName>
    <definedName name="In_Performancefee_3_Tellus">#REF!</definedName>
    <definedName name="In_Plotpreparation_Järla" localSheetId="5">#REF!</definedName>
    <definedName name="In_Plotpreparation_Järla">#REF!</definedName>
    <definedName name="In_Plotpreparation_Metronomen" localSheetId="5">#REF!</definedName>
    <definedName name="In_Plotpreparation_Metronomen">#REF!</definedName>
    <definedName name="In_Plotpreparation_Tellus" localSheetId="5">#REF!</definedName>
    <definedName name="In_Plotpreparation_Tellus">#REF!</definedName>
    <definedName name="In_Prepaymentfee_Järla" localSheetId="5">#REF!</definedName>
    <definedName name="In_Prepaymentfee_Järla">#REF!</definedName>
    <definedName name="In_Prepaymentfee_Metronomen" localSheetId="5">#REF!</definedName>
    <definedName name="In_Prepaymentfee_Metronomen">#REF!</definedName>
    <definedName name="In_Prepaymentfee_Tellus" localSheetId="5">#REF!</definedName>
    <definedName name="In_Prepaymentfee_Tellus">#REF!</definedName>
    <definedName name="In_ProfitsharePG_Järla" localSheetId="5">#REF!</definedName>
    <definedName name="In_ProfitsharePG_Järla">#REF!</definedName>
    <definedName name="In_ProfitsharePG_Metronomen" localSheetId="5">#REF!</definedName>
    <definedName name="In_ProfitsharePG_Metronomen">#REF!</definedName>
    <definedName name="In_ProfitsharePG_Tellus" localSheetId="5">#REF!</definedName>
    <definedName name="In_ProfitsharePG_Tellus">#REF!</definedName>
    <definedName name="In_ProfitshareSSM_Järla" localSheetId="5">#REF!</definedName>
    <definedName name="In_ProfitshareSSM_Järla">#REF!</definedName>
    <definedName name="In_ProfitshareSSM_Metronomen" localSheetId="5">#REF!</definedName>
    <definedName name="In_ProfitshareSSM_Metronomen">#REF!</definedName>
    <definedName name="In_ProfitshareSSM_Tellus" localSheetId="5">#REF!</definedName>
    <definedName name="In_ProfitshareSSM_Tellus">#REF!</definedName>
    <definedName name="In_ProjectManagement_Järla" localSheetId="5">#REF!</definedName>
    <definedName name="In_ProjectManagement_Järla">#REF!</definedName>
    <definedName name="In_ProjectManagement_Metronomen" localSheetId="5">#REF!</definedName>
    <definedName name="In_ProjectManagement_Metronomen">#REF!</definedName>
    <definedName name="In_ProjectManagement_Tellus" localSheetId="5">#REF!</definedName>
    <definedName name="In_ProjectManagement_Tellus">#REF!</definedName>
    <definedName name="In_Projectrisk_Tellus" localSheetId="5">#REF!</definedName>
    <definedName name="In_Projectrisk_Tellus">#REF!</definedName>
    <definedName name="In_Propertymarketvalue_Tellus" localSheetId="5">#REF!</definedName>
    <definedName name="In_Propertymarketvalue_Tellus">#REF!</definedName>
    <definedName name="In_Propertypayment_Järla" localSheetId="5">#REF!</definedName>
    <definedName name="In_Propertypayment_Järla">#REF!</definedName>
    <definedName name="In_Propertypayment_Metronomen" localSheetId="5">#REF!</definedName>
    <definedName name="In_Propertypayment_Metronomen">#REF!</definedName>
    <definedName name="In_Propertypaymentshare_Järla" localSheetId="5">#REF!</definedName>
    <definedName name="In_Propertypaymentshare_Järla">#REF!</definedName>
    <definedName name="In_Propertypaymentshare_Metronomen" localSheetId="5">#REF!</definedName>
    <definedName name="In_Propertypaymentshare_Metronomen">#REF!</definedName>
    <definedName name="In_Propertyprepayment1_Järla" localSheetId="5">#REF!</definedName>
    <definedName name="In_Propertyprepayment1_Järla">#REF!</definedName>
    <definedName name="In_Propertyprepayment1_Metronomen" localSheetId="5">#REF!</definedName>
    <definedName name="In_Propertyprepayment1_Metronomen">#REF!</definedName>
    <definedName name="In_Propertyprepayment1share_Järla" localSheetId="5">#REF!</definedName>
    <definedName name="In_Propertyprepayment1share_Järla">#REF!</definedName>
    <definedName name="In_Propertyprepayment1share_Metronomen" localSheetId="5">#REF!</definedName>
    <definedName name="In_Propertyprepayment1share_Metronomen">#REF!</definedName>
    <definedName name="In_Propertyprepayment2_Järla" localSheetId="5">#REF!</definedName>
    <definedName name="In_Propertyprepayment2_Järla">#REF!</definedName>
    <definedName name="In_Propertyprepayment2_Metronomen" localSheetId="5">#REF!</definedName>
    <definedName name="In_Propertyprepayment2_Metronomen">#REF!</definedName>
    <definedName name="In_Propertyprepayment2share_Järla" localSheetId="5">#REF!</definedName>
    <definedName name="In_Propertyprepayment2share_Järla">#REF!</definedName>
    <definedName name="In_Propertyprepayment2share_Metronomen" localSheetId="5">#REF!</definedName>
    <definedName name="In_Propertyprepayment2share_Metronomen">#REF!</definedName>
    <definedName name="In_Propertyprepayment3_Järla" localSheetId="5">#REF!</definedName>
    <definedName name="In_Propertyprepayment3_Järla">#REF!</definedName>
    <definedName name="In_Propertyprepayment3_Metronomen" localSheetId="5">#REF!</definedName>
    <definedName name="In_Propertyprepayment3_Metronomen">#REF!</definedName>
    <definedName name="In_Propertyprepayment3share_Järla" localSheetId="5">#REF!</definedName>
    <definedName name="In_Propertyprepayment3share_Järla">#REF!</definedName>
    <definedName name="In_Propertyprepayment3share_Metronomen" localSheetId="5">#REF!</definedName>
    <definedName name="In_Propertyprepayment3share_Metronomen">#REF!</definedName>
    <definedName name="In_Rentalapartmentspricedifference_Tellus" localSheetId="5">#REF!</definedName>
    <definedName name="In_Rentalapartmentspricedifference_Tellus">#REF!</definedName>
    <definedName name="In_Rentalapartmentsrevenue_Tellus" localSheetId="5">#REF!</definedName>
    <definedName name="In_Rentalapartmentsrevenue_Tellus">#REF!</definedName>
    <definedName name="In_Revenuecommercialspace_Tellus" localSheetId="5">#REF!</definedName>
    <definedName name="In_Revenuecommercialspace_Tellus">#REF!</definedName>
    <definedName name="In_Revenuegarage_Tellus" localSheetId="5">#REF!</definedName>
    <definedName name="In_Revenuegarage_Tellus">#REF!</definedName>
    <definedName name="In_Revenuepreschool_Tellus" localSheetId="5">#REF!</definedName>
    <definedName name="In_Revenuepreschool_Tellus">#REF!</definedName>
    <definedName name="In_SalesCosts_Järla" localSheetId="5">#REF!</definedName>
    <definedName name="In_SalesCosts_Järla">#REF!</definedName>
    <definedName name="In_SalesCosts_Metronomen" localSheetId="5">#REF!</definedName>
    <definedName name="In_SalesCosts_Metronomen">#REF!</definedName>
    <definedName name="In_SalesCosts_Tellus" localSheetId="5">#REF!</definedName>
    <definedName name="In_SalesCosts_Tellus">#REF!</definedName>
    <definedName name="In_Tax_Järla" localSheetId="5">#REF!</definedName>
    <definedName name="In_Tax_Järla">#REF!</definedName>
    <definedName name="In_Tax_Metronomen" localSheetId="5">#REF!</definedName>
    <definedName name="In_Tax_Metronomen">#REF!</definedName>
    <definedName name="In_Tax_Tellus" localSheetId="5">#REF!</definedName>
    <definedName name="In_Tax_Tellus">#REF!</definedName>
    <definedName name="In_VATcost_Järla" localSheetId="5">#REF!</definedName>
    <definedName name="In_VATcost_Järla">#REF!</definedName>
    <definedName name="In_VATcost_Metronomen" localSheetId="5">#REF!</definedName>
    <definedName name="In_VATcost_Metronomen">#REF!</definedName>
    <definedName name="In_VATcost_Tellus" localSheetId="5">#REF!</definedName>
    <definedName name="In_VATcost_Tellus">#REF!</definedName>
    <definedName name="In_VATrestitution_Järla" localSheetId="5">#REF!</definedName>
    <definedName name="In_VATrestitution_Järla">#REF!</definedName>
    <definedName name="In_VATrestitution_Metronomen" localSheetId="5">#REF!</definedName>
    <definedName name="In_VATrestitution_Metronomen">#REF!</definedName>
    <definedName name="In_VATrestitution_Tellus" localSheetId="5">#REF!</definedName>
    <definedName name="In_VATrestitution_Tellus">#REF!</definedName>
    <definedName name="IndBuildTitle" localSheetId="5">#REF!</definedName>
    <definedName name="IndBuildTitle">#REF!</definedName>
    <definedName name="IndGroundTitle" localSheetId="5">#REF!</definedName>
    <definedName name="IndGroundTitle">#REF!</definedName>
    <definedName name="InitialYieldTitle" localSheetId="5">#REF!</definedName>
    <definedName name="InitialYieldTitle">#REF!</definedName>
    <definedName name="INTÄKT_GARAGE" localSheetId="5">#REF!</definedName>
    <definedName name="INTÄKT_GARAGE">#REF!</definedName>
    <definedName name="INTÄKT_PARKERING" localSheetId="5">#REF!</definedName>
    <definedName name="INTÄKT_PARKERING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"c413"</definedName>
    <definedName name="IQ_ACCOUNTING_FFIEC" hidden="1">"c13054"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"c100"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"c147"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"c84"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"c907"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40868.331875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"c797"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39855.3918171296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UNK" localSheetId="5" hidden="1">{"'Table of Contents'!$A$1"}</definedName>
    <definedName name="JUNK" hidden="1">{"'Table of Contents'!$A$1"}</definedName>
    <definedName name="k">#REF!</definedName>
    <definedName name="ko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nto">#REF!</definedName>
    <definedName name="Kontovalg" localSheetId="5">#REF!</definedName>
    <definedName name="Kontovalg">#REF!</definedName>
    <definedName name="kost" localSheetId="5" hidden="1">#REF!</definedName>
    <definedName name="kost" hidden="1">#REF!</definedName>
    <definedName name="kul" localSheetId="5">#REF!</definedName>
    <definedName name="kul">#REF!</definedName>
    <definedName name="L" localSheetId="5" hidden="1">{"ASCONGRP","COMPANIES",TRUE}</definedName>
    <definedName name="L" hidden="1">{"ASCONGRP","COMPANIES",TRUE}</definedName>
    <definedName name="Ladenfläche" localSheetId="5">[12]!Ladenfläche</definedName>
    <definedName name="Ladenfläche">#REF!</definedName>
    <definedName name="Ladenflächefrei" localSheetId="5">[12]!Ladenflächefrei</definedName>
    <definedName name="Ladenflächefrei">#REF!</definedName>
    <definedName name="lage" localSheetId="5">#REF!</definedName>
    <definedName name="lage">#REF!</definedName>
    <definedName name="Lagerfläche" localSheetId="5">[12]!Lagerfläche</definedName>
    <definedName name="Lagerfläche">#REF!</definedName>
    <definedName name="Lagerflächefrei" localSheetId="5">[12]!Lagerflächefrei</definedName>
    <definedName name="Lagerflächefrei">#REF!</definedName>
    <definedName name="land" localSheetId="5">#REF!</definedName>
    <definedName name="land">#REF!</definedName>
    <definedName name="LeaseStartDateTitle" localSheetId="5">#REF!</definedName>
    <definedName name="LeaseStartDateTitle">#REF!</definedName>
    <definedName name="LeaseTitle" localSheetId="5">#REF!</definedName>
    <definedName name="LeaseTitle">#REF!</definedName>
    <definedName name="limcount" hidden="1">1</definedName>
    <definedName name="Link" localSheetId="5">#REF!</definedName>
    <definedName name="Link">#REF!</definedName>
    <definedName name="LOA" localSheetId="5">#REF!</definedName>
    <definedName name="LOA">#REF!</definedName>
    <definedName name="Lyft" localSheetId="5">#REF!</definedName>
    <definedName name="Lyft">#REF!</definedName>
    <definedName name="Lyftplan" localSheetId="5">#REF!+#REF!</definedName>
    <definedName name="Lyftplan">#REF!+#REF!</definedName>
    <definedName name="m" localSheetId="5">[12]!m</definedName>
    <definedName name="m">#REF!</definedName>
    <definedName name="MARKANV_KOSTNADER" localSheetId="5">#REF!</definedName>
    <definedName name="MARKANV_KOSTNADER">#REF!</definedName>
    <definedName name="MarketValueTitle" localSheetId="5">#REF!</definedName>
    <definedName name="MarketValueTitle">#REF!</definedName>
    <definedName name="MARKNADSHYRA_M2" localSheetId="5">#REF!</definedName>
    <definedName name="MARKNADSHYRA_M2">#REF!</definedName>
    <definedName name="marknadsvarde" localSheetId="5">#REF!</definedName>
    <definedName name="marknadsvarde">#REF!</definedName>
    <definedName name="MARKPRIS" localSheetId="5">#REF!</definedName>
    <definedName name="MARKPRIS">#REF!</definedName>
    <definedName name="MarktmieteBüro" localSheetId="5">[12]!MarktmieteBüro</definedName>
    <definedName name="MarktmieteBüro">#REF!</definedName>
    <definedName name="MarktmieteLaden" localSheetId="5">[12]!MarktmieteLaden</definedName>
    <definedName name="MarktmieteLaden">#REF!</definedName>
    <definedName name="MarktmieteLager" localSheetId="5">[12]!MarktmieteLager</definedName>
    <definedName name="MarktmieteLager">#REF!</definedName>
    <definedName name="MarktmieteService" localSheetId="5">[12]!MarktmieteService</definedName>
    <definedName name="MarktmieteService">#REF!</definedName>
    <definedName name="MarktmieteWohnen" localSheetId="5">[12]!MarktmieteWohnen</definedName>
    <definedName name="MarktmieteWohnen">#REF!</definedName>
    <definedName name="MieteJahr1" localSheetId="5">[12]!MieteJahr1</definedName>
    <definedName name="MieteJahr1">#REF!</definedName>
    <definedName name="mkmk" localSheetId="5" hidden="1">'[15]Office Space'!$O$33:$AA$33</definedName>
    <definedName name="mkmk" hidden="1">#REF!</definedName>
    <definedName name="Model">TRUE</definedName>
    <definedName name="MR" localSheetId="5">#REF!</definedName>
    <definedName name="MR">#REF!</definedName>
    <definedName name="MRG" localSheetId="5" hidden="1">{"INCOME",#N/A,FALSE,"ProNet";"VALUE",#N/A,FALSE,"ProNet"}</definedName>
    <definedName name="MRG" hidden="1">{"INCOME",#N/A,FALSE,"ProNet";"VALUE",#N/A,FALSE,"ProNet"}</definedName>
    <definedName name="MunicipalityTitle">#REF!</definedName>
    <definedName name="Name" localSheetId="5">[16]About!$D$80+[16]About!$E$8</definedName>
    <definedName name="Name">#REF!+#REF!</definedName>
    <definedName name="Name1" localSheetId="5" hidden="1">{"cot1",#N/A,FALSE,"Cottages";"cot2",#N/A,FALSE,"Cottages";"cot3",#N/A,FALSE,"Cottages"}</definedName>
    <definedName name="Name1" hidden="1">{"cot1",#N/A,FALSE,"Cottages";"cot2",#N/A,FALSE,"Cottages";"cot3",#N/A,FALSE,"Cottages"}</definedName>
    <definedName name="NetOpInComeTitle">#REF!</definedName>
    <definedName name="NetOpInComeTitle2" localSheetId="5">#REF!</definedName>
    <definedName name="NetOpInComeTitle2">#REF!</definedName>
    <definedName name="new" localSheetId="5">#REF!</definedName>
    <definedName name="new">#REF!</definedName>
    <definedName name="NewLeaseTitle" localSheetId="5">#REF!</definedName>
    <definedName name="NewLeaseTitle">#REF!</definedName>
    <definedName name="newrange" localSheetId="5" hidden="1">{"Annual Cash Flows",#N/A,FALSE,"Annual Summary"}</definedName>
    <definedName name="newrange" hidden="1">{"Annual Cash Flows",#N/A,FALSE,"Annual Summary"}</definedName>
    <definedName name="NORMHYRA">#REF!</definedName>
    <definedName name="OC" localSheetId="5">#REF!</definedName>
    <definedName name="OC">#REF!</definedName>
    <definedName name="OffRetailBuildTitle" localSheetId="5">#REF!</definedName>
    <definedName name="OffRetailBuildTitle">#REF!</definedName>
    <definedName name="OffRetailGroundTitle" localSheetId="5">#REF!</definedName>
    <definedName name="OffRetailGroundTitle">#REF!</definedName>
    <definedName name="øl" localSheetId="5">#REF!</definedName>
    <definedName name="øl">#REF!</definedName>
    <definedName name="ole" localSheetId="5">[12]!ole</definedName>
    <definedName name="ole">#REF!</definedName>
    <definedName name="OnMTitle" localSheetId="5">#REF!</definedName>
    <definedName name="OnMTitle">#REF!</definedName>
    <definedName name="OnMTitleAreaCode1" localSheetId="5">#REF!</definedName>
    <definedName name="OnMTitleAreaCode1">#REF!</definedName>
    <definedName name="op" localSheetId="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p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ppdater">#REF!</definedName>
    <definedName name="ORG" localSheetId="5">#REF!</definedName>
    <definedName name="ORG">#REF!</definedName>
    <definedName name="ORGADR" localSheetId="5">#REF!</definedName>
    <definedName name="ORGADR">#REF!</definedName>
    <definedName name="ORGKOMM" localSheetId="5">#REF!</definedName>
    <definedName name="ORGKOMM">#REF!</definedName>
    <definedName name="ORGLAGE" localSheetId="5">#REF!</definedName>
    <definedName name="ORGLAGE">#REF!</definedName>
    <definedName name="ORGSQL" localSheetId="5">#REF!</definedName>
    <definedName name="ORGSQL">#REF!</definedName>
    <definedName name="ORGTEXT" localSheetId="5">#REF!</definedName>
    <definedName name="ORGTEXT">#REF!</definedName>
    <definedName name="ORGTYP" localSheetId="5">#REF!</definedName>
    <definedName name="ORGTYP">#REF!</definedName>
    <definedName name="ortspris" localSheetId="5">#REF!</definedName>
    <definedName name="ortspris">#REF!</definedName>
    <definedName name="OTHURVAL" localSheetId="5">#REF!</definedName>
    <definedName name="OTHURVAL">#REF!</definedName>
    <definedName name="Out_Admin_Järla" localSheetId="5">#REF!</definedName>
    <definedName name="Out_Admin_Järla">#REF!</definedName>
    <definedName name="Out_Admin_Metronomen" localSheetId="5">#REF!</definedName>
    <definedName name="Out_Admin_Metronomen">#REF!</definedName>
    <definedName name="Out_Admin_Tellus" localSheetId="5">#REF!</definedName>
    <definedName name="Out_Admin_Tellus">#REF!</definedName>
    <definedName name="Out_Capitalreserve_Järla" localSheetId="5">#REF!</definedName>
    <definedName name="Out_Capitalreserve_Järla">#REF!</definedName>
    <definedName name="Out_Capitalreserve_Metronomen" localSheetId="5">#REF!</definedName>
    <definedName name="Out_Capitalreserve_Metronomen">#REF!</definedName>
    <definedName name="Out_Capitalreserve_Tellus" localSheetId="5">#REF!</definedName>
    <definedName name="Out_Capitalreserve_Tellus">#REF!</definedName>
    <definedName name="Out_Cashtrap_Järla" localSheetId="5">#REF!</definedName>
    <definedName name="Out_Cashtrap_Järla">#REF!</definedName>
    <definedName name="Out_Cashtrap_Metronomen" localSheetId="5">#REF!</definedName>
    <definedName name="Out_Cashtrap_Metronomen">#REF!</definedName>
    <definedName name="Out_Cashtrap_Tellus" localSheetId="5">#REF!</definedName>
    <definedName name="Out_Cashtrap_Tellus">#REF!</definedName>
    <definedName name="Out_Cashtraprelease_Järla" localSheetId="5">#REF!</definedName>
    <definedName name="Out_Cashtraprelease_Järla">#REF!</definedName>
    <definedName name="Out_Cashtraprelease_Metronomen" localSheetId="5">#REF!</definedName>
    <definedName name="Out_Cashtraprelease_Metronomen">#REF!</definedName>
    <definedName name="Out_Cashtraprelease_Tellus" localSheetId="5">#REF!</definedName>
    <definedName name="Out_Cashtraprelease_Tellus">#REF!</definedName>
    <definedName name="Out_Commercial_Tellus" localSheetId="5">#REF!</definedName>
    <definedName name="Out_Commercial_Tellus">#REF!</definedName>
    <definedName name="Out_Connectionfees_Järla" localSheetId="5">#REF!</definedName>
    <definedName name="Out_Connectionfees_Järla">#REF!</definedName>
    <definedName name="Out_Connectionfees_Metronomen" localSheetId="5">#REF!</definedName>
    <definedName name="Out_Connectionfees_Metronomen">#REF!</definedName>
    <definedName name="Out_Connectionfees_Tellus" localSheetId="5">#REF!</definedName>
    <definedName name="Out_Connectionfees_Tellus">#REF!</definedName>
    <definedName name="Out_Constructioncost_Järla" localSheetId="5">#REF!</definedName>
    <definedName name="Out_Constructioncost_Järla">#REF!</definedName>
    <definedName name="Out_Constructioncost_Metronomen" localSheetId="5">#REF!</definedName>
    <definedName name="Out_Constructioncost_Metronomen">#REF!</definedName>
    <definedName name="Out_Constructioncost_Tellus" localSheetId="5">#REF!</definedName>
    <definedName name="Out_Constructioncost_Tellus">#REF!</definedName>
    <definedName name="Out_Constructioncostland_Järla" localSheetId="5">#REF!</definedName>
    <definedName name="Out_Constructioncostland_Järla">#REF!</definedName>
    <definedName name="Out_Constructioncostland_Metronomen" localSheetId="5">#REF!</definedName>
    <definedName name="Out_Constructioncostland_Metronomen">#REF!</definedName>
    <definedName name="Out_Constructionloanassociation_Järla" localSheetId="5">#REF!</definedName>
    <definedName name="Out_Constructionloanassociation_Järla">#REF!</definedName>
    <definedName name="Out_Constructionloanassociation_Metronomen" localSheetId="5">#REF!</definedName>
    <definedName name="Out_Constructionloanassociation_Metronomen">#REF!</definedName>
    <definedName name="Out_Constructionloanassociation_Tellus" localSheetId="5">#REF!</definedName>
    <definedName name="Out_Constructionloanassociation_Tellus">#REF!</definedName>
    <definedName name="Out_Constructionloandrawdown_Järla" localSheetId="5">#REF!</definedName>
    <definedName name="Out_Constructionloandrawdown_Järla">#REF!</definedName>
    <definedName name="Out_Constructionloandrawdown_Metronomen" localSheetId="5">#REF!</definedName>
    <definedName name="Out_Constructionloandrawdown_Metronomen">#REF!</definedName>
    <definedName name="Out_Constructionloandrawdown_Tellus" localSheetId="5">#REF!</definedName>
    <definedName name="Out_Constructionloandrawdown_Tellus">#REF!</definedName>
    <definedName name="Out_Constructionloanrepayment_Järla" localSheetId="5">#REF!</definedName>
    <definedName name="Out_Constructionloanrepayment_Järla">#REF!</definedName>
    <definedName name="Out_Constructionloanrepayment_Metronomen" localSheetId="5">#REF!</definedName>
    <definedName name="Out_Constructionloanrepayment_Metronomen">#REF!</definedName>
    <definedName name="Out_Constructionloanrepayment_Tellus" localSheetId="5">#REF!</definedName>
    <definedName name="Out_Constructionloanrepayment_Tellus">#REF!</definedName>
    <definedName name="Out_Constructiontax_Järla" localSheetId="5">#REF!</definedName>
    <definedName name="Out_Constructiontax_Järla">#REF!</definedName>
    <definedName name="Out_Constructiontax_Metronomen" localSheetId="5">#REF!</definedName>
    <definedName name="Out_Constructiontax_Metronomen">#REF!</definedName>
    <definedName name="Out_Constructiontax_Tellus" localSheetId="5">#REF!</definedName>
    <definedName name="Out_Constructiontax_Tellus">#REF!</definedName>
    <definedName name="Out_Developercost_Järla" localSheetId="5">#REF!</definedName>
    <definedName name="Out_Developercost_Järla">#REF!</definedName>
    <definedName name="Out_Developercost_Metronomen" localSheetId="5">#REF!</definedName>
    <definedName name="Out_Developercost_Metronomen">#REF!</definedName>
    <definedName name="Out_Developercost_Tellus" localSheetId="5">#REF!</definedName>
    <definedName name="Out_Developercost_Tellus">#REF!</definedName>
    <definedName name="Out_Developmentcost_Järla" localSheetId="5">#REF!</definedName>
    <definedName name="Out_Developmentcost_Järla">#REF!</definedName>
    <definedName name="Out_Developmentcost_Metronomen" localSheetId="5">#REF!</definedName>
    <definedName name="Out_Developmentcost_Metronomen">#REF!</definedName>
    <definedName name="Out_Developmentcost_Tellus" localSheetId="5">#REF!</definedName>
    <definedName name="Out_Developmentcost_Tellus">#REF!</definedName>
    <definedName name="Out_Garage_Tellus" localSheetId="5">#REF!</definedName>
    <definedName name="Out_Garage_Tellus">#REF!</definedName>
    <definedName name="Out_Interest_Järla" localSheetId="5">#REF!</definedName>
    <definedName name="Out_Interest_Järla">#REF!</definedName>
    <definedName name="Out_Interest_Metronomen" localSheetId="5">#REF!</definedName>
    <definedName name="Out_Interest_Metronomen">#REF!</definedName>
    <definedName name="Out_Interest_Tellus" localSheetId="5">#REF!</definedName>
    <definedName name="Out_Interest_Tellus">#REF!</definedName>
    <definedName name="Out_Landlease_Tellus" localSheetId="5">#REF!</definedName>
    <definedName name="Out_Landlease_Tellus">#REF!</definedName>
    <definedName name="Out_Loanpriortopermitdrawdown_Järla" localSheetId="5">#REF!</definedName>
    <definedName name="Out_Loanpriortopermitdrawdown_Järla">#REF!</definedName>
    <definedName name="Out_Loanpriortopermitdrawdown_Metronomen" localSheetId="5">#REF!</definedName>
    <definedName name="Out_Loanpriortopermitdrawdown_Metronomen">#REF!</definedName>
    <definedName name="Out_Loanpriortopermitrepayment_Järla" localSheetId="5">#REF!</definedName>
    <definedName name="Out_Loanpriortopermitrepayment_Järla">#REF!</definedName>
    <definedName name="Out_Loanpriortopermitrepayment_Metronomen" localSheetId="5">#REF!</definedName>
    <definedName name="Out_Loanpriortopermitrepayment_Metronomen">#REF!</definedName>
    <definedName name="Out_Managementfee_Järla" localSheetId="5">#REF!</definedName>
    <definedName name="Out_Managementfee_Järla">#REF!</definedName>
    <definedName name="Out_Managementfee_Metronomen" localSheetId="5">#REF!</definedName>
    <definedName name="Out_Managementfee_Metronomen">#REF!</definedName>
    <definedName name="Out_Managementfee_Tellus" localSheetId="5">#REF!</definedName>
    <definedName name="Out_Managementfee_Tellus">#REF!</definedName>
    <definedName name="Out_Mezzanieloandrawdown_Tellus" localSheetId="5">#REF!</definedName>
    <definedName name="Out_Mezzanieloandrawdown_Tellus">#REF!</definedName>
    <definedName name="Out_Mezzanieloanrepayment_Tellus" localSheetId="5">#REF!</definedName>
    <definedName name="Out_Mezzanieloanrepayment_Tellus">#REF!</definedName>
    <definedName name="Out_Ownerassociationapartments_Järla" localSheetId="5">#REF!</definedName>
    <definedName name="Out_Ownerassociationapartments_Järla">#REF!</definedName>
    <definedName name="Out_Ownerassociationapartments_Metronomen" localSheetId="5">#REF!</definedName>
    <definedName name="Out_Ownerassociationapartments_Metronomen">#REF!</definedName>
    <definedName name="Out_Ownerassociationapartments_Tellus" localSheetId="5">#REF!</definedName>
    <definedName name="Out_Ownerassociationapartments_Tellus">#REF!</definedName>
    <definedName name="Out_Ownerassociationloan_Järla" localSheetId="5">#REF!</definedName>
    <definedName name="Out_Ownerassociationloan_Järla">#REF!</definedName>
    <definedName name="Out_Ownerassociationloan_Metronomen" localSheetId="5">#REF!</definedName>
    <definedName name="Out_Ownerassociationloan_Metronomen">#REF!</definedName>
    <definedName name="Out_Ownerassociationloan_Tellus" localSheetId="5">#REF!</definedName>
    <definedName name="Out_Ownerassociationloan_Tellus">#REF!</definedName>
    <definedName name="Out_Ownershipapartments_Tellus" localSheetId="5">#REF!</definedName>
    <definedName name="Out_Ownershipapartments_Tellus">#REF!</definedName>
    <definedName name="Out_Ownershipapartmentsfunding_Tellus" localSheetId="5">#REF!</definedName>
    <definedName name="Out_Ownershipapartmentsfunding_Tellus">#REF!</definedName>
    <definedName name="Out_Ownershipapartmentsrepayment_Tellus" localSheetId="5">#REF!</definedName>
    <definedName name="Out_Ownershipapartmentsrepayment_Tellus">#REF!</definedName>
    <definedName name="Out_Performancefee_1_Järla" localSheetId="5">#REF!</definedName>
    <definedName name="Out_Performancefee_1_Järla">#REF!</definedName>
    <definedName name="Out_Performancefee_1_Metronomen" localSheetId="5">#REF!</definedName>
    <definedName name="Out_Performancefee_1_Metronomen">#REF!</definedName>
    <definedName name="Out_Performancefee_1_Tellus" localSheetId="5">#REF!</definedName>
    <definedName name="Out_Performancefee_1_Tellus">#REF!</definedName>
    <definedName name="Out_Plot_Järla" localSheetId="5">#REF!</definedName>
    <definedName name="Out_Plot_Järla">#REF!</definedName>
    <definedName name="Out_Plot_Metronomen" localSheetId="5">#REF!</definedName>
    <definedName name="Out_Plot_Metronomen">#REF!</definedName>
    <definedName name="Out_Plot_Tellus" localSheetId="5">#REF!</definedName>
    <definedName name="Out_Plot_Tellus">#REF!</definedName>
    <definedName name="Out_Plotprep_Järla" localSheetId="5">#REF!</definedName>
    <definedName name="Out_Plotprep_Järla">#REF!</definedName>
    <definedName name="Out_Plotprep_Metronomen" localSheetId="5">#REF!</definedName>
    <definedName name="Out_Plotprep_Metronomen">#REF!</definedName>
    <definedName name="Out_Plotprep_Tellus" localSheetId="5">#REF!</definedName>
    <definedName name="Out_Plotprep_Tellus">#REF!</definedName>
    <definedName name="Out_Prepayments_Järla" localSheetId="5">#REF!</definedName>
    <definedName name="Out_Prepayments_Järla">#REF!</definedName>
    <definedName name="Out_Prepayments_Metronomen" localSheetId="5">#REF!</definedName>
    <definedName name="Out_Prepayments_Metronomen">#REF!</definedName>
    <definedName name="Out_Prepayments_Tellus" localSheetId="5">#REF!</definedName>
    <definedName name="Out_Prepayments_Tellus">#REF!</definedName>
    <definedName name="Out_Prepaymentsbookings_Järla" localSheetId="5">#REF!</definedName>
    <definedName name="Out_Prepaymentsbookings_Järla">#REF!</definedName>
    <definedName name="Out_Prepaymentsbookings_Metronomen" localSheetId="5">#REF!</definedName>
    <definedName name="Out_Prepaymentsbookings_Metronomen">#REF!</definedName>
    <definedName name="Out_Prepaymentsbookings_Tellus" localSheetId="5">#REF!</definedName>
    <definedName name="Out_Prepaymentsbookings_Tellus">#REF!</definedName>
    <definedName name="Out_Presalespromote_Tellus" localSheetId="5">#REF!</definedName>
    <definedName name="Out_Presalespromote_Tellus">#REF!</definedName>
    <definedName name="Out_Preschool_Tellus" localSheetId="5">#REF!</definedName>
    <definedName name="Out_Preschool_Tellus">#REF!</definedName>
    <definedName name="Out_Projectmanagement_Järla" localSheetId="5">#REF!</definedName>
    <definedName name="Out_Projectmanagement_Järla">#REF!</definedName>
    <definedName name="Out_Projectmanagement_Metronomen" localSheetId="5">#REF!</definedName>
    <definedName name="Out_Projectmanagement_Metronomen">#REF!</definedName>
    <definedName name="Out_Projectmanagement_Tellus" localSheetId="5">#REF!</definedName>
    <definedName name="Out_Projectmanagement_Tellus">#REF!</definedName>
    <definedName name="Out_Projectrisk_Tellus" localSheetId="5">#REF!</definedName>
    <definedName name="Out_Projectrisk_Tellus">#REF!</definedName>
    <definedName name="Out_Projectsharecost_Tellus" localSheetId="5">#REF!</definedName>
    <definedName name="Out_Projectsharecost_Tellus">#REF!</definedName>
    <definedName name="Out_Propertyloandrawdown_Järla" localSheetId="5">#REF!</definedName>
    <definedName name="Out_Propertyloandrawdown_Järla">#REF!</definedName>
    <definedName name="Out_Propertyloandrawdown_Metronomen" localSheetId="5">#REF!</definedName>
    <definedName name="Out_Propertyloandrawdown_Metronomen">#REF!</definedName>
    <definedName name="Out_Propertyloandrawdown_Tellus" localSheetId="5">#REF!</definedName>
    <definedName name="Out_Propertyloandrawdown_Tellus">#REF!</definedName>
    <definedName name="Out_Propertyloanrepayment_Järla" localSheetId="5">#REF!</definedName>
    <definedName name="Out_Propertyloanrepayment_Järla">#REF!</definedName>
    <definedName name="Out_Propertyloanrepayment_Metronomen" localSheetId="5">#REF!</definedName>
    <definedName name="Out_Propertyloanrepayment_Metronomen">#REF!</definedName>
    <definedName name="Out_Propertyloanrepayment_Tellus" localSheetId="5">#REF!</definedName>
    <definedName name="Out_Propertyloanrepayment_Tellus">#REF!</definedName>
    <definedName name="Out_Rentalapartments_Tellus" localSheetId="5">#REF!</definedName>
    <definedName name="Out_Rentalapartments_Tellus">#REF!</definedName>
    <definedName name="Out_Rentalapartmentsfunding_Tellus" localSheetId="5">#REF!</definedName>
    <definedName name="Out_Rentalapartmentsfunding_Tellus">#REF!</definedName>
    <definedName name="Out_Rentalapartmentsrepayment_Tellus" localSheetId="5">#REF!</definedName>
    <definedName name="Out_Rentalapartmentsrepayment_Tellus">#REF!</definedName>
    <definedName name="Out_Salescost_Järla" localSheetId="5">#REF!</definedName>
    <definedName name="Out_Salescost_Järla">#REF!</definedName>
    <definedName name="Out_Salescost_Metronomen" localSheetId="5">#REF!</definedName>
    <definedName name="Out_Salescost_Metronomen">#REF!</definedName>
    <definedName name="Out_Salescost_Tellus" localSheetId="5">#REF!</definedName>
    <definedName name="Out_Salescost_Tellus">#REF!</definedName>
    <definedName name="Out_VATcost_Järla" localSheetId="5">#REF!</definedName>
    <definedName name="Out_VATcost_Järla">#REF!</definedName>
    <definedName name="Out_VATcost_Metronomen" localSheetId="5">#REF!</definedName>
    <definedName name="Out_VATcost_Metronomen">#REF!</definedName>
    <definedName name="Out_VATcost_Tellus" localSheetId="5">#REF!</definedName>
    <definedName name="Out_VATcost_Tellus">#REF!</definedName>
    <definedName name="Out_VATrestitution_Järla" localSheetId="5">#REF!</definedName>
    <definedName name="Out_VATrestitution_Järla">#REF!</definedName>
    <definedName name="Out_VATrestitution_Metronomen" localSheetId="5">#REF!</definedName>
    <definedName name="Out_VATrestitution_Metronomen">#REF!</definedName>
    <definedName name="Out_VATrestitution_Tellus" localSheetId="5">#REF!</definedName>
    <definedName name="Out_VATrestitution_Tellus">#REF!</definedName>
    <definedName name="OwnerName" localSheetId="5">#REF!</definedName>
    <definedName name="OwnerName">#REF!</definedName>
    <definedName name="OwnerNameTitle" localSheetId="5">#REF!</definedName>
    <definedName name="OwnerNameTitle">#REF!</definedName>
    <definedName name="ParishTitle" localSheetId="5">#REF!</definedName>
    <definedName name="ParishTitle">#REF!</definedName>
    <definedName name="pia" localSheetId="5">#REF!</definedName>
    <definedName name="pia">#REF!</definedName>
    <definedName name="PJAM3Yr" localSheetId="5" hidden="1">{"INCOME",#N/A,FALSE,"ProNet";"VALUE",#N/A,FALSE,"ProNet"}</definedName>
    <definedName name="PJAM3Yr" hidden="1">{"INCOME",#N/A,FALSE,"ProNet";"VALUE",#N/A,FALSE,"ProNet"}</definedName>
    <definedName name="PKONTO_IN">#REF!</definedName>
    <definedName name="PNORM" localSheetId="5">#REF!</definedName>
    <definedName name="PNORM">#REF!</definedName>
    <definedName name="Porfolios" localSheetId="5">'[13]Property Underwriting'!$H$21:$H$23</definedName>
    <definedName name="Porfolios">#REF!</definedName>
    <definedName name="PosCodeTitle" localSheetId="5">#REF!</definedName>
    <definedName name="PosCodeTitle">#REF!</definedName>
    <definedName name="PotentielleMiete" localSheetId="5">[12]!PotentielleMiete</definedName>
    <definedName name="PotentielleMiete">#REF!</definedName>
    <definedName name="Pre_sale_promote_date" localSheetId="5">#REF!</definedName>
    <definedName name="Pre_sale_promote_date">#REF!</definedName>
    <definedName name="_xlnm.Print_Area" localSheetId="5">#REF!</definedName>
    <definedName name="_xlnm.Print_Area" localSheetId="6">'Hallunda Gård aggregated'!$B$1:$E$107</definedName>
    <definedName name="_xlnm.Print_Area" localSheetId="4">'Project overview'!$B$3:$S$56</definedName>
    <definedName name="_xlnm.Print_Area">#REF!</definedName>
    <definedName name="PRODUKTIONSKOSTN_SCHABLON" localSheetId="5">#REF!</definedName>
    <definedName name="PRODUKTIONSKOSTN_SCHABLON">#REF!</definedName>
    <definedName name="PRODUKTIONSTID" localSheetId="5">#REF!</definedName>
    <definedName name="PRODUKTIONSTID">#REF!</definedName>
    <definedName name="PROJEKTSTORLEK" localSheetId="5">#REF!</definedName>
    <definedName name="PROJEKTSTORLEK">#REF!</definedName>
    <definedName name="PROJEKTTID" localSheetId="5">#REF!</definedName>
    <definedName name="PROJEKTTID">#REF!</definedName>
    <definedName name="promte" localSheetId="5" hidden="1">{"Assumptions",#N/A,FALSE,"Assumptions"}</definedName>
    <definedName name="promte" hidden="1">{"Assumptions",#N/A,FALSE,"Assumptions"}</definedName>
    <definedName name="PropertyTaxTitle">#REF!</definedName>
    <definedName name="PurchasePriceTitle" localSheetId="5">#REF!</definedName>
    <definedName name="PurchasePriceTitle">#REF!</definedName>
    <definedName name="q" localSheetId="5">[12]!q</definedName>
    <definedName name="q">#REF!</definedName>
    <definedName name="qw" localSheetId="5" hidden="1">{#N/A,#N/A,FALSE,"Transaction Summary-DTW";#N/A,#N/A,FALSE,"Proforma Five Yr";#N/A,#N/A,FALSE,"Occ and Rate"}</definedName>
    <definedName name="qw" hidden="1">{#N/A,#N/A,FALSE,"Transaction Summary-DTW";#N/A,#N/A,FALSE,"Proforma Five Yr";#N/A,#N/A,FALSE,"Occ and Rate"}</definedName>
    <definedName name="qwer">#REF!</definedName>
    <definedName name="qwerty">#REF!</definedName>
    <definedName name="_xlnm.Recorder" localSheetId="5">#REF!</definedName>
    <definedName name="_xlnm.Recorder">#REF!</definedName>
    <definedName name="Rediger">#REF!</definedName>
    <definedName name="RentTitle" localSheetId="5">#REF!</definedName>
    <definedName name="RentTitle">#REF!</definedName>
    <definedName name="RentTitleAreaCode1" localSheetId="5">#REF!</definedName>
    <definedName name="RentTitleAreaCode1">#REF!</definedName>
    <definedName name="Report_Version_4">"A1"</definedName>
    <definedName name="ReportCreated">TRUE</definedName>
    <definedName name="ResBuildTitle">#REF!</definedName>
    <definedName name="ResGroundTitle" localSheetId="5">#REF!</definedName>
    <definedName name="ResGroundTitle">#REF!</definedName>
    <definedName name="restvarde" localSheetId="5">#REF!</definedName>
    <definedName name="restvarde">#REF!</definedName>
    <definedName name="Resultat" localSheetId="5">#REF!</definedName>
    <definedName name="Resultat">#REF!</definedName>
    <definedName name="Resultatregnskap" localSheetId="5">#REF!</definedName>
    <definedName name="Resultatregnskap">#REF!</definedName>
    <definedName name="riktvardeomr" localSheetId="5">#REF!</definedName>
    <definedName name="riktvardeomr">#REF!</definedName>
    <definedName name="RIVNING_M2" localSheetId="5">#REF!</definedName>
    <definedName name="RIVNING_M2">#REF!</definedName>
    <definedName name="RPRTRESTYP" localSheetId="5">#REF!</definedName>
    <definedName name="RPRTRESTYP">#REF!</definedName>
    <definedName name="Rreparaturen" localSheetId="5" hidden="1">#REF!</definedName>
    <definedName name="Rreparaturen" hidden="1">#REF!</definedName>
    <definedName name="saa" localSheetId="5" hidden="1">{"rtn",#N/A,FALSE,"RTN";"tables",#N/A,FALSE,"RTN";"cf",#N/A,FALSE,"CF";"stats",#N/A,FALSE,"Stats";"prop",#N/A,FALSE,"Prop"}</definedName>
    <definedName name="saa" hidden="1">{"rtn",#N/A,FALSE,"RTN";"tables",#N/A,FALSE,"RTN";"cf",#N/A,FALSE,"CF";"stats",#N/A,FALSE,"Stats";"prop",#N/A,FALSE,"Prop"}</definedName>
    <definedName name="saf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saf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sas" localSheetId="5" hidden="1">{"Outflow 1",#N/A,FALSE,"Outflows-Inflows";"Outflow 2",#N/A,FALSE,"Outflows-Inflows";"Inflow 1",#N/A,FALSE,"Outflows-Inflows";"Inflow 2",#N/A,FALSE,"Outflows-Inflows"}</definedName>
    <definedName name="sas" hidden="1">{"Outflow 1",#N/A,FALSE,"Outflows-Inflows";"Outflow 2",#N/A,FALSE,"Outflows-Inflows";"Inflow 1",#N/A,FALSE,"Outflows-Inflows";"Inflow 2",#N/A,FALSE,"Outflows-Inflows"}</definedName>
    <definedName name="SCALE">#REF!</definedName>
    <definedName name="scenariostartyear" localSheetId="5">#REF!</definedName>
    <definedName name="scenariostartyear">#REF!</definedName>
    <definedName name="ScenarioStartYearTitle" localSheetId="5">#REF!</definedName>
    <definedName name="ScenarioStartYearTitle">#REF!</definedName>
    <definedName name="SD" localSheetId="5">#REF!</definedName>
    <definedName name="SD">#REF!</definedName>
    <definedName name="SDATE" localSheetId="5">#REF!</definedName>
    <definedName name="SDATE">#REF!</definedName>
    <definedName name="sdf" localSheetId="5" hidden="1">{"cover",#N/A,TRUE,"Cover";"toc1",#N/A,TRUE,"TOC";"ts1",#N/A,TRUE,"Transaction Summary";"ei2",#N/A,TRUE,"Earnings Impact";"ad2",#N/A,TRUE,"accretion dilution"}</definedName>
    <definedName name="sdf" hidden="1">{"cover",#N/A,TRUE,"Cover";"toc1",#N/A,TRUE,"TOC";"ts1",#N/A,TRUE,"Transaction Summary";"ei2",#N/A,TRUE,"Earnings Impact";"ad2",#N/A,TRUE,"accretion dilution"}</definedName>
    <definedName name="sdfass" localSheetId="5" hidden="1">{"Outflow 1",#N/A,FALSE,"Outflows-Inflows";"Outflow 2",#N/A,FALSE,"Outflows-Inflows";"Inflow 1",#N/A,FALSE,"Outflows-Inflows";"Inflow 2",#N/A,FALSE,"Outflows-Inflows"}</definedName>
    <definedName name="sdfass" hidden="1">{"Outflow 1",#N/A,FALSE,"Outflows-Inflows";"Outflow 2",#N/A,FALSE,"Outflows-Inflows";"Inflow 1",#N/A,FALSE,"Outflows-Inflows";"Inflow 2",#N/A,FALSE,"Outflows-Inflows"}</definedName>
    <definedName name="sdfdf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dfdf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sdfgdfg" localSheetId="5" hidden="1">'[5]#REF'!#REF!</definedName>
    <definedName name="sdfgdfg" hidden="1">#REF!</definedName>
    <definedName name="sdfgfdgsdfgdf" localSheetId="5" hidden="1">'[5]#REF'!#REF!</definedName>
    <definedName name="sdfgfdgsdfgdf" hidden="1">#REF!</definedName>
    <definedName name="Selections" localSheetId="5">#REF!</definedName>
    <definedName name="Selections">#REF!</definedName>
    <definedName name="SelectionsNames" localSheetId="5">#REF!</definedName>
    <definedName name="SelectionsNames">#REF!</definedName>
    <definedName name="sencount" hidden="1">1</definedName>
    <definedName name="Servicefläche" localSheetId="5">[12]!Servicefläche</definedName>
    <definedName name="Servicefläche">#REF!</definedName>
    <definedName name="Serviceflächefrei" localSheetId="5">[12]!Serviceflächefrei</definedName>
    <definedName name="Serviceflächefrei">#REF!</definedName>
    <definedName name="Start" localSheetId="5">#REF!</definedName>
    <definedName name="Start">#REF!</definedName>
    <definedName name="Starten" localSheetId="5">#REF!</definedName>
    <definedName name="Starten">#REF!</definedName>
    <definedName name="Status_Järla" localSheetId="5">#REF!</definedName>
    <definedName name="Status_Järla">#REF!</definedName>
    <definedName name="Status_Metronomen" localSheetId="5">#REF!</definedName>
    <definedName name="Status_Metronomen">#REF!</definedName>
    <definedName name="Status_Tellus" localSheetId="5">#REF!</definedName>
    <definedName name="Status_Tellus">#REF!</definedName>
    <definedName name="STÖDNIVÅ" localSheetId="5">#REF!</definedName>
    <definedName name="STÖDNIVÅ">#REF!</definedName>
    <definedName name="STRLK_1A" localSheetId="5">#REF!</definedName>
    <definedName name="STRLK_1A">#REF!</definedName>
    <definedName name="STRLK_2A" localSheetId="5">#REF!</definedName>
    <definedName name="STRLK_2A">#REF!</definedName>
    <definedName name="STRLK_3A" localSheetId="5">#REF!</definedName>
    <definedName name="STRLK_3A">#REF!</definedName>
    <definedName name="STRLK_4A" localSheetId="5">#REF!</definedName>
    <definedName name="STRLK_4A">#REF!</definedName>
    <definedName name="sx" localSheetId="5" hidden="1">{#N/A,#N/A,FALSE,"Occ and Rate";#N/A,#N/A,FALSE,"PF Input";#N/A,#N/A,FALSE,"Capital Input";#N/A,#N/A,FALSE,"Proforma Five Yr";#N/A,#N/A,FALSE,"Calculations";#N/A,#N/A,FALSE,"Transaction Summary-DTW"}</definedName>
    <definedName name="sx" hidden="1">{#N/A,#N/A,FALSE,"Occ and Rate";#N/A,#N/A,FALSE,"PF Input";#N/A,#N/A,FALSE,"Capital Input";#N/A,#N/A,FALSE,"Proforma Five Yr";#N/A,#N/A,FALSE,"Calculations";#N/A,#N/A,FALSE,"Transaction Summary-DTW"}</definedName>
    <definedName name="Test" localSheetId="5" hidden="1">{"INCOME",#N/A,FALSE,"ProNet";"VALUE",#N/A,FALSE,"ProNet"}</definedName>
    <definedName name="Test" hidden="1">{"INCOME",#N/A,FALSE,"ProNet";"VALUE",#N/A,FALSE,"ProNet"}</definedName>
    <definedName name="Test2" localSheetId="5" hidden="1">{"INCOME",#N/A,FALSE,"ProNet";"VALUE",#N/A,FALSE,"ProNet"}</definedName>
    <definedName name="Test2" hidden="1">{"INCOME",#N/A,FALSE,"ProNet";"VALUE",#N/A,FALSE,"ProNet"}</definedName>
    <definedName name="Test3" localSheetId="5" hidden="1">{"INCOME",#N/A,FALSE,"ProNet";"VALUE",#N/A,FALSE,"ProNet"}</definedName>
    <definedName name="Test3" hidden="1">{"INCOME",#N/A,FALSE,"ProNet";"VALUE",#N/A,FALSE,"ProNet"}</definedName>
    <definedName name="test4" localSheetId="5" hidden="1">{"CHART",#N/A,FALSE,"Arch Communications"}</definedName>
    <definedName name="test4" hidden="1">{"CHART",#N/A,FALSE,"Arch Communications"}</definedName>
    <definedName name="timePeriodEng">#REF!</definedName>
    <definedName name="timeperiodSv" localSheetId="5">#REF!</definedName>
    <definedName name="timeperiodSv">#REF!</definedName>
    <definedName name="tina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ina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ORGURVAL">#REF!</definedName>
    <definedName name="TypeCodeTitle" localSheetId="5">#REF!</definedName>
    <definedName name="TypeCodeTitle">#REF!</definedName>
    <definedName name="typkod" localSheetId="5">#REF!</definedName>
    <definedName name="typkod">#REF!</definedName>
    <definedName name="UNDERLIGGANDEFASTIGHETSVÄRDE" localSheetId="5">#REF!</definedName>
    <definedName name="UNDERLIGGANDEFASTIGHETSVÄRDE">#REF!</definedName>
    <definedName name="Units" localSheetId="5">'[17]AAPL-3-Statements'!$I$9</definedName>
    <definedName name="Units">#REF!</definedName>
    <definedName name="Username" localSheetId="5">#REF!</definedName>
    <definedName name="Username">#REF!</definedName>
    <definedName name="VacancyTitle" localSheetId="5">#REF!</definedName>
    <definedName name="VacancyTitle">#REF!</definedName>
    <definedName name="VacancyTitleAreaCode1" localSheetId="5">#REF!</definedName>
    <definedName name="VacancyTitleAreaCode1">#REF!</definedName>
    <definedName name="vakans" localSheetId="5">#REF!</definedName>
    <definedName name="vakans">#REF!</definedName>
    <definedName name="value1" localSheetId="5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AreaTitle">#REF!</definedName>
    <definedName name="ValueYearTitle" localSheetId="5">#REF!</definedName>
    <definedName name="ValueYearTitle">#REF!</definedName>
    <definedName name="vardear" localSheetId="5">#REF!</definedName>
    <definedName name="vardear">#REF!</definedName>
    <definedName name="w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e" localSheetId="5" hidden="1">{#N/A,#N/A,FALSE,"Occ and Rate";#N/A,#N/A,FALSE,"PF Input";#N/A,#N/A,FALSE,"Proforma Five Yr";#N/A,#N/A,FALSE,"Hotcomps"}</definedName>
    <definedName name="we" hidden="1">{#N/A,#N/A,FALSE,"Occ and Rate";#N/A,#N/A,FALSE,"PF Input";#N/A,#N/A,FALSE,"Proforma Five Yr";#N/A,#N/A,FALSE,"Hotcomps"}</definedName>
    <definedName name="wer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er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ererwer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erwer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n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ern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hat" localSheetId="5" hidden="1">{"Page1",#N/A,FALSE,"7979";"Page2",#N/A,FALSE,"7979";"Page3",#N/A,FALSE,"7979"}</definedName>
    <definedName name="what" hidden="1">{"Page1",#N/A,FALSE,"7979";"Page2",#N/A,FALSE,"7979";"Page3",#N/A,FALSE,"7979"}</definedName>
    <definedName name="Wohnenfläche" localSheetId="5">[12]!Wohnenfläche</definedName>
    <definedName name="Wohnenfläche">#REF!</definedName>
    <definedName name="Wohnenflächefrei" localSheetId="5">[12]!Wohnenflächefrei</definedName>
    <definedName name="Wohnenflächefrei">#REF!</definedName>
    <definedName name="wolf" localSheetId="5">[12]!wolf</definedName>
    <definedName name="wolf">#REF!</definedName>
    <definedName name="wrn.1." localSheetId="5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5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0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._.pagers." localSheetId="5" hidden="1">{"Cover",#N/A,FALSE,"Cover";"Summary",#N/A,FALSE,"Summarpage"}</definedName>
    <definedName name="wrn.2._.pagers." hidden="1">{"Cover",#N/A,FALSE,"Cover";"Summary",#N/A,FALSE,"Summarpage"}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07._.all." localSheetId="5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wrn.2007._.all." hidden="1">{"2007",#N/A,FALSE,"SUMMARY";"2007",#N/A,FALSE,"RET ON CAP";"2007",#N/A,FALSE,"PROFORMA";"2007",#N/A,FALSE,"Assumptions";"2007",#N/A,FALSE,"Sales &amp; Marketing";"2007",#N/A,FALSE,"Overhead";"2007",#N/A,FALSE,"General Project";"2007",#N/A,FALSE,"Development"}</definedName>
    <definedName name="wrn.2007._.summaries." localSheetId="5" hidden="1">{#N/A,#N/A,FALSE,"SUMMARY";#N/A,#N/A,FALSE,"RET ON CAP"}</definedName>
    <definedName name="wrn.2007._.summaries." hidden="1">{#N/A,#N/A,FALSE,"SUMMARY";#N/A,#N/A,FALSE,"RET ON CAP"}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#N/A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9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99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Acq._.Model." localSheetId="5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uisition._.Model." localSheetId="5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LL." localSheetId="5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" hidden="1">{#N/A,#N/A,FALSE,"SCHEDULE A";"MINIMUM RENT",#N/A,FALSE,"SCHEDULES B &amp; C";"PERCENTAGE RENT",#N/A,FALSE,"SCHEDULES B &amp; C";#N/A,#N/A,FALSE,"SCHEDULE D";"SUMMARY SCHEDULE",#N/A,FALSE,"SCHEDULE E";#N/A,#N/A,FALSE,"SCHEDULE F";#N/A,#N/A,FALSE,"SCHEDULE G";"SUMMARY SCHEDULE",#N/A,FALSE,"SCHEDULE H";"SUMMARY SCHEDULE",#N/A,FALSE,"SCHEDULE I";#N/A,#N/A,FALSE,"SCHEDULE J";#N/A,#N/A,FALSE,"SCHEDULE 2";#N/A,#N/A,FALSE,"SCHEDULE 3";#N/A,#N/A,FALSE,"MARKETING I";#N/A,#N/A,FALSE,"MARKETING II";#N/A,#N/A,FALSE,"MARKETING III"}</definedName>
    <definedName name="wrn.All._.Sections." localSheetId="5" hidden="1">{"Data Entry",#N/A,FALSE,"COMPTEMP";"Ratios",#N/A,FALSE,"COMPTEMP";"Aggregate Values",#N/A,FALSE,"COMPTEMP";"Equity Multiples",#N/A,FALSE,"COMPTEMP";"Summary Overview",#N/A,FALSE,"COMPTEMP"}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nnual._.Summary." localSheetId="5" hidden="1">{"Annual Cash Flows",#N/A,FALSE,"Annual Summary"}</definedName>
    <definedName name="wrn.Annual._.Summary." hidden="1">{"Annual Cash Flows",#N/A,FALSE,"Annual Summary"}</definedName>
    <definedName name="wrn.AnnualRentRoll." localSheetId="5" hidden="1">{"AnnualRentRoll",#N/A,FALSE,"RentRoll"}</definedName>
    <definedName name="wrn.AnnualRentRoll." hidden="1">{"AnnualRentRoll",#N/A,FALSE,"RentRoll"}</definedName>
    <definedName name="wrn.Assumptions." localSheetId="5" hidden="1">{"Assumptions",#N/A,FALSE,"Assumptions"}</definedName>
    <definedName name="wrn.Assumptions." hidden="1">{"Assumptions",#N/A,FALSE,"Assumptions"}</definedName>
    <definedName name="wrn.backup." localSheetId="5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5" hidden="1">{"banks",#N/A,FALSE,"BASIC"}</definedName>
    <definedName name="wrn.bank._.model." hidden="1">{"banks",#N/A,FALSE,"BASIC"}</definedName>
    <definedName name="wrn.Birdie." localSheetId="5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eu4." localSheetId="5" hidden="1">{#N/A,#N/A,FALSE}</definedName>
    <definedName name="wrn.bleu4." hidden="1">{#N/A,#N/A,FALSE}</definedName>
    <definedName name="wrn.breakup." localSheetId="5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Capx." localSheetId="5" hidden="1">{"Capx/exp",#N/A,FALSE,"CapX"}</definedName>
    <definedName name="wrn.Capx." hidden="1">{"Capx/exp",#N/A,FALSE,"CapX"}</definedName>
    <definedName name="wrn.CHART." localSheetId="5" hidden="1">{"CHART",#N/A,FALSE,"Arch Communications"}</definedName>
    <definedName name="wrn.CHART." hidden="1">{"CHART",#N/A,FALSE,"Arch Communications"}</definedName>
    <definedName name="wrn.Complete." localSheetId="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view." localSheetId="5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struction._.Costs." localSheetId="5" hidden="1">{"Construction Costs",#N/A,FALSE,"Total Costs"}</definedName>
    <definedName name="wrn.Construction._.Costs." hidden="1">{"Construction Costs",#N/A,FALSE,"Total Costs"}</definedName>
    <definedName name="wrn.Cottage._.Summary." localSheetId="5" hidden="1">{"cot1",#N/A,FALSE,"Cottages";"cot2",#N/A,FALSE,"Cottages";"cot3",#N/A,FALSE,"Cottages"}</definedName>
    <definedName name="wrn.Cottage._.Summary." hidden="1">{"cot1",#N/A,FALSE,"Cottages";"cot2",#N/A,FALSE,"Cottages";"cot3",#N/A,FALSE,"Cottages"}</definedName>
    <definedName name="wrn.DETAIL._.SCHEDULES." localSheetId="5" hidden="1">{"ACCOUNT DETAIL",#N/A,FALSE,"SCHEDULE E";"ACCOUNT DETAIL",#N/A,FALSE,"SCHEDULE G";"ACCOUNT DETAIL",#N/A,FALSE,"SCHEDULE H";"ACCOUNT DETAIL",#N/A,FALSE,"SCHEDULE I"}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ownside." localSheetId="5" hidden="1">{"Downside",#N/A,FALSE,"Downside"}</definedName>
    <definedName name="wrn.Downside." hidden="1">{"Downside",#N/A,FALSE,"Downside"}</definedName>
    <definedName name="wrn.ExitAndSalesAssumptions." localSheetId="5" hidden="1">{#N/A,#N/A,FALSE,"ExitStratigy"}</definedName>
    <definedName name="wrn.ExitAndSalesAssumptions." hidden="1">{#N/A,#N/A,FALSE,"ExitStratigy"}</definedName>
    <definedName name="wrn.Freq_Res." localSheetId="5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without._.data." localSheetId="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olf._.Summary." localSheetId="5" hidden="1">{"View1",#N/A,FALSE,"Golf";"View2",#N/A,FALSE,"Golf";"View3",#N/A,FALSE,"Golf";"View4",#N/A,FALSE,"Golf";"View5",#N/A,FALSE,"Golf";"View6",#N/A,FALSE,"Golf";"View7",#N/A,FALSE,"Golf";"View8",#N/A,FALSE,"Golf";"View9",#N/A,FALSE,"Golf";"View10",#N/A,FALSE,"Golf";"View11",#N/A,FALSE,"Golf";"View12",#N/A,FALSE,"Golf"}</definedName>
    <definedName name="wrn.Golf._.Summary." hidden="1">{"View1",#N/A,FALSE,"Golf";"View2",#N/A,FALSE,"Golf";"View3",#N/A,FALSE,"Golf";"View4",#N/A,FALSE,"Golf";"View5",#N/A,FALSE,"Golf";"View6",#N/A,FALSE,"Golf";"View7",#N/A,FALSE,"Golf";"View8",#N/A,FALSE,"Golf";"View9",#N/A,FALSE,"Golf";"View10",#N/A,FALSE,"Golf";"View11",#N/A,FALSE,"Golf";"View12",#N/A,FALSE,"Golf"}</definedName>
    <definedName name="wrn.Investment._.Review." localSheetId="5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Land._.Takedown._.Summary." localSheetId="5" hidden="1">{"land1",#N/A,FALSE,"Land";"land2",#N/A,FALSE,"Land";"land3",#N/A,FALSE,"Land"}</definedName>
    <definedName name="wrn.Land._.Takedown._.Summary." hidden="1">{"land1",#N/A,FALSE,"Land";"land2",#N/A,FALSE,"Land";"land3",#N/A,FALSE,"Land"}</definedName>
    <definedName name="wrn.LETTERED." localSheetId="5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an._.Summary." localSheetId="5" hidden="1">{"Loan Summary",#N/A,FALSE,"Phase 1 loan &amp; data"}</definedName>
    <definedName name="wrn.Loan._.Summary." hidden="1">{"Loan Summary",#N/A,FALSE,"Phase 1 loan &amp; data"}</definedName>
    <definedName name="wrn.LoanInformation." localSheetId="5" hidden="1">{#N/A,#N/A,FALSE,"LoanAssumptions"}</definedName>
    <definedName name="wrn.LoanInformation." hidden="1">{#N/A,#N/A,FALSE,"LoanAssumptions"}</definedName>
    <definedName name="wrn.Lot._.Inventory." localSheetId="5" hidden="1">{"lot inventory",#N/A,FALSE,"Lot List"}</definedName>
    <definedName name="wrn.Lot._.Inventory." hidden="1">{"lot inventory",#N/A,FALSE,"Lot List"}</definedName>
    <definedName name="wrn.Lot._.Summary." localSheetId="5" hidden="1">{"Lot Prices",#N/A,FALSE,"LOTS-PRICING";"lot1",#N/A,FALSE,"Lots";"lot2",#N/A,FALSE,"Lots";"Lot3",#N/A,FALSE,"Lots";"lot4",#N/A,FALSE,"Lots";"lot5",#N/A,FALSE,"Lots";"lot6",#N/A,FALSE,"Lots";"lot7",#N/A,FALSE,"Lots";"lot8",#N/A,FALSE,"Lots";"lot9",#N/A,FALSE,"Lots";"lot10",#N/A,FALSE,"Lots";"lot11",#N/A,FALSE,"Lots";"lot12",#N/A,FALSE,"Lots"}</definedName>
    <definedName name="wrn.Lot._.Summary." hidden="1">{"Lot Prices",#N/A,FALSE,"LOTS-PRICING";"lot1",#N/A,FALSE,"Lots";"lot2",#N/A,FALSE,"Lots";"Lot3",#N/A,FALSE,"Lots";"lot4",#N/A,FALSE,"Lots";"lot5",#N/A,FALSE,"Lots";"lot6",#N/A,FALSE,"Lots";"lot7",#N/A,FALSE,"Lots";"lot8",#N/A,FALSE,"Lots";"lot9",#N/A,FALSE,"Lots";"lot10",#N/A,FALSE,"Lots";"lot11",#N/A,FALSE,"Lots";"lot12",#N/A,FALSE,"Lots"}</definedName>
    <definedName name="wrn.MARKETING." localSheetId="5" hidden="1">{#N/A,#N/A,FALSE,"MARKETING I";#N/A,#N/A,FALSE,"MARKETING II";#N/A,#N/A,FALSE,"MARKETING III"}</definedName>
    <definedName name="wrn.MARKETING." hidden="1">{#N/A,#N/A,FALSE,"MARKETING I";#N/A,#N/A,FALSE,"MARKETING II";#N/A,#N/A,FALSE,"MARKETING III"}</definedName>
    <definedName name="wrn.MINRENT." localSheetId="5" hidden="1">{"MINRENT2",#N/A,FALSE,"SCHEDULE B"}</definedName>
    <definedName name="wrn.MINRENT." hidden="1">{"MINRENT2",#N/A,FALSE,"SCHEDULE B"}</definedName>
    <definedName name="wrn.mktstd." localSheetId="5" hidden="1">{"Project Input",#N/A,FALSE,"Sheet1";"additions",#N/A,FALSE,"Sheet2";"demand",#N/A,FALSE,"Sheet3";"Market Mix",#N/A,FALSE,"Sheet4";"Occ projection",#N/A,FALSE,"Sheet6"}</definedName>
    <definedName name="wrn.mktstd." hidden="1">{"Project Input",#N/A,FALSE,"Sheet1";"additions",#N/A,FALSE,"Sheet2";"demand",#N/A,FALSE,"Sheet3";"Market Mix",#N/A,FALSE,"Sheet4";"Occ projection",#N/A,FALSE,"Sheet6"}</definedName>
    <definedName name="wrn.model." localSheetId="5" hidden="1">{"basic",#N/A,FALSE,"BASIC"}</definedName>
    <definedName name="wrn.model." hidden="1">{"basic",#N/A,FALSE,"BASIC"}</definedName>
    <definedName name="wrn.MonthlyRentRoll." localSheetId="5" hidden="1">{"MonthlyRentRoll",#N/A,FALSE,"RentRoll"}</definedName>
    <definedName name="wrn.MonthlyRentRoll." hidden="1">{"MonthlyRentRoll",#N/A,FALSE,"RentRoll"}</definedName>
    <definedName name="wrn.Nico." localSheetId="5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OperatingAssumtions." localSheetId="5" hidden="1">{#N/A,#N/A,FALSE,"OperatingAssumptions"}</definedName>
    <definedName name="wrn.OperatingAssumtions." hidden="1">{#N/A,#N/A,FALSE,"OperatingAssumptions"}</definedName>
    <definedName name="wrn.Operations._.Review." localSheetId="5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5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PERCENTAGE._.RENT." localSheetId="5" hidden="1">{"PERCENTAGE RENT",#N/A,TRUE,"SCHEDULE B"}</definedName>
    <definedName name="wrn.PERCENTAGE._.RENT." hidden="1">{"PERCENTAGE RENT",#N/A,TRUE,"SCHEDULE B"}</definedName>
    <definedName name="wrn.Phase._.I." localSheetId="5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5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." localSheetId="5" hidden="1">{#N/A,#N/A,FALSE,"Model";#N/A,#N/A,FALSE,"Division"}</definedName>
    <definedName name="wrn.Print." hidden="1">{#N/A,#N/A,FALSE,"Model";#N/A,#N/A,FALSE,"Division"}</definedName>
    <definedName name="wrn.Print._.4." localSheetId="5" hidden="1">{"Outflow 1",#N/A,FALSE,"Outflows-Inflows";"Outflow 2",#N/A,FALSE,"Outflows-Inflows";"Inflow 1",#N/A,FALSE,"Outflows-Inflows";"Inflow 2",#N/A,FALSE,"Outflows-Inflows"}</definedName>
    <definedName name="wrn.Print._.4." hidden="1">{"Outflow 1",#N/A,FALSE,"Outflows-Inflows";"Outflow 2",#N/A,FALSE,"Outflows-Inflows";"Inflow 1",#N/A,FALSE,"Outflows-Inflows";"Inflow 2",#N/A,FALSE,"Outflows-Inflows"}</definedName>
    <definedName name="wrn.Print._.6." localSheetId="5" hidden="1">{"print 1.6",#N/A,FALSE,"Sheet1";"print 2.6",#N/A,FALSE,"Sheet1";"print 3.6",#N/A,FALSE,"Sheet1";"print 4.6",#N/A,FALSE,"Sheet1";"print 5.6",#N/A,FALSE,"Sheet1";"print 6.6",#N/A,FALSE,"Sheet1"}</definedName>
    <definedName name="wrn.Print._.6." hidden="1">{"print 1.6",#N/A,FALSE,"Sheet1";"print 2.6",#N/A,FALSE,"Sheet1";"print 3.6",#N/A,FALSE,"Sheet1";"print 4.6",#N/A,FALSE,"Sheet1";"print 5.6",#N/A,FALSE,"Sheet1";"print 6.6",#N/A,FALSE,"Sheet1"}</definedName>
    <definedName name="wrn.Print._.Entire._.Workbook." localSheetId="5" hidden="1">{"Assumptions",#N/A,TRUE,"Assumptions";"qtrl1",#N/A,TRUE,"Annual Summary";"qtrl2",#N/A,TRUE,"Annual Summary";"qtrl3",#N/A,TRUE,"Annual Summary";"qtrl4",#N/A,TRUE,"QTLY Summary";"qtrl5",#N/A,TRUE,"QTLY Summary";"qtrl6",#N/A,TRUE,"QTLY Summary";"Lot Prices",#N/A,TRUE,"Annual Summary";"Construction Costs",#N/A,TRUE,"Annual Summary";"land1",#N/A,TRUE,"Annual Summary";"land2",#N/A,TRUE,"Annual Summary";"land3",#N/A,TRUE,"Annual Summary";"lot1",#N/A,TRUE,"Annual Summary";"lot2",#N/A,TRUE,"Annual Summary";"Lot3",#N/A,TRUE,"Annual Summary";"lot4",#N/A,TRUE,"Annual Summary";"lot5",#N/A,TRUE,"Annual Summary";"lot6",#N/A,TRUE,"Annual Summary";"lot7",#N/A,TRUE,"Annual Summary";"lot8",#N/A,TRUE,"Annual Summary";"lot9",#N/A,TRUE,"Annual Summary";"lot10",#N/A,TRUE,"Annual Summary";"lot11",#N/A,TRUE,"Annual Summary";"lot12",#N/A,TRUE,"Annual Summary";"lot inventory",#N/A,TRUE,"Annual Summary";"scen1",#N/A,TRUE,"Annual Summary";"scen2",#N/A,TRUE,"Annual Summary";"View1",#N/A,TRUE,"Annual Summary";"View2",#N/A,TRUE,"Annual Summary";"View3",#N/A,TRUE,"Annual Summary";"View4",#N/A,TRUE,"Annual Summary";"View5",#N/A,TRUE,"Annual Summary";"View6",#N/A,TRUE,"Annual Summary";"View7",#N/A,TRUE,"Annual Summary";"View8",#N/A,TRUE,"Annual Summary";"View9",#N/A,TRUE,"Annual Summary";"View10",#N/A,TRUE,"Annual Summary";"View11",#N/A,TRUE,"Annual Summary";"View12",#N/A,TRUE,"Annual Summary";"cot1",#N/A,TRUE,"Annual Summary";"cot2",#N/A,TRUE,"Annual Summary";"cot3",#N/A,TRUE,"Annual Summary"}</definedName>
    <definedName name="wrn.Print._.Entire._.Workbook." hidden="1">{"Assumptions",#N/A,TRUE,"Assumptions";"qtrl1",#N/A,TRUE,"Annual Summary";"qtrl2",#N/A,TRUE,"Annual Summary";"qtrl3",#N/A,TRUE,"Annual Summary";"qtrl4",#N/A,TRUE,"QTLY Summary";"qtrl5",#N/A,TRUE,"QTLY Summary";"qtrl6",#N/A,TRUE,"QTLY Summary";"Lot Prices",#N/A,TRUE,"Annual Summary";"Construction Costs",#N/A,TRUE,"Annual Summary";"land1",#N/A,TRUE,"Annual Summary";"land2",#N/A,TRUE,"Annual Summary";"land3",#N/A,TRUE,"Annual Summary";"lot1",#N/A,TRUE,"Annual Summary";"lot2",#N/A,TRUE,"Annual Summary";"Lot3",#N/A,TRUE,"Annual Summary";"lot4",#N/A,TRUE,"Annual Summary";"lot5",#N/A,TRUE,"Annual Summary";"lot6",#N/A,TRUE,"Annual Summary";"lot7",#N/A,TRUE,"Annual Summary";"lot8",#N/A,TRUE,"Annual Summary";"lot9",#N/A,TRUE,"Annual Summary";"lot10",#N/A,TRUE,"Annual Summary";"lot11",#N/A,TRUE,"Annual Summary";"lot12",#N/A,TRUE,"Annual Summary";"lot inventory",#N/A,TRUE,"Annual Summary";"scen1",#N/A,TRUE,"Annual Summary";"scen2",#N/A,TRUE,"Annual Summary";"View1",#N/A,TRUE,"Annual Summary";"View2",#N/A,TRUE,"Annual Summary";"View3",#N/A,TRUE,"Annual Summary";"View4",#N/A,TRUE,"Annual Summary";"View5",#N/A,TRUE,"Annual Summary";"View6",#N/A,TRUE,"Annual Summary";"View7",#N/A,TRUE,"Annual Summary";"View8",#N/A,TRUE,"Annual Summary";"View9",#N/A,TRUE,"Annual Summary";"View10",#N/A,TRUE,"Annual Summary";"View11",#N/A,TRUE,"Annual Summary";"View12",#N/A,TRUE,"Annual Summary";"cot1",#N/A,TRUE,"Annual Summary";"cot2",#N/A,TRUE,"Annual Summary";"cot3",#N/A,TRUE,"Annual Summary"}</definedName>
    <definedName name="wrn.Print.B" localSheetId="5" hidden="1">{"View1",#N/A,FALSE,"Sheet1";"View2",#N/A,FALSE,"Sheet1"}</definedName>
    <definedName name="wrn.Print.B" hidden="1">{"View1",#N/A,FALSE,"Sheet1";"View2",#N/A,FALSE,"Sheet1"}</definedName>
    <definedName name="wrn.Print1." localSheetId="5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" localSheetId="5" hidden="1">{"View1",#N/A,FALSE,"Sheet1";"View2",#N/A,FALSE,"Sheet1"}</definedName>
    <definedName name="wrn.print2" hidden="1">{"View1",#N/A,FALSE,"Sheet1";"View2",#N/A,FALSE,"Sheet1"}</definedName>
    <definedName name="wrn.printb2" localSheetId="5" hidden="1">{"View1",#N/A,FALSE,"Sheet1";"View2",#N/A,FALSE,"Sheet1"}</definedName>
    <definedName name="wrn.printb2" hidden="1">{"View1",#N/A,FALSE,"Sheet1";"View2",#N/A,FALSE,"Sheet1"}</definedName>
    <definedName name="wrn.Prints._.All.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All.B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All.B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forma._.Review." localSheetId="5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pertyInformation." localSheetId="5" hidden="1">{#N/A,#N/A,FALSE,"PropertyInfo"}</definedName>
    <definedName name="wrn.PropertyInformation." hidden="1">{#N/A,#N/A,FALSE,"PropertyInfo"}</definedName>
    <definedName name="wrn.Pulp." localSheetId="5" hidden="1">{"Pulp Production",#N/A,FALSE,"Pulp";"Pulp Earnings",#N/A,FALSE,"Pulp"}</definedName>
    <definedName name="wrn.Pulp." hidden="1">{"Pulp Production",#N/A,FALSE,"Pulp";"Pulp Earnings",#N/A,FALSE,"Pulp"}</definedName>
    <definedName name="wrn.Quarterly._.Summary." localSheetId="5" hidden="1">{"qtrl1",#N/A,TRUE,"Annual Summary";"qtrl2",#N/A,TRUE,"Annual Summary";"qtrl3",#N/A,TRUE,"Annual Summary";"qtrl4",#N/A,TRUE,"QTLY Summary";"qtrl5",#N/A,TRUE,"QTLY Summary";"qtrl6",#N/A,TRUE,"QTLY Summary"}</definedName>
    <definedName name="wrn.Quarterly._.Summary." hidden="1">{"qtrl1",#N/A,TRUE,"Annual Summary";"qtrl2",#N/A,TRUE,"Annual Summary";"qtrl3",#N/A,TRUE,"Annual Summary";"qtrl4",#N/A,TRUE,"QTLY Summary";"qtrl5",#N/A,TRUE,"QTLY Summary";"qtrl6",#N/A,TRUE,"QTLY Summary"}</definedName>
    <definedName name="wrn.RATES." localSheetId="5" hidden="1">{"RATES",#N/A,FALSE,"RECOVERY RATES";"CONTRIBUTIONS",#N/A,FALSE,"RECOVERY RATES";"GLA CATEGORY SUMMARY",#N/A,FALSE,"RECOVERY RATES"}</definedName>
    <definedName name="wrn.RATES." hidden="1">{"RATES",#N/A,FALSE,"RECOVERY RATES";"CONTRIBUTIONS",#N/A,FALSE,"RECOVERY RATES";"GLA CATEGORY SUMMARY",#N/A,FALSE,"RECOVERY RATES"}</definedName>
    <definedName name="wrn.Report." localSheetId="5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1." localSheetId="5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V._.SAR." localSheetId="5" hidden="1">{#N/A,#N/A,FALSE,"COVER";#N/A,#N/A,FALSE,"WEEKLY SUMMARY";"RiverView I",#N/A,FALSE,"EAST TOWER";#N/A,#N/A,FALSE,"WEST TOWER";"Parking",#N/A,FALSE,"EAST TOWER"}</definedName>
    <definedName name="wrn.RV._.SAR." hidden="1">{#N/A,#N/A,FALSE,"COVER";#N/A,#N/A,FALSE,"WEEKLY SUMMARY";"RiverView I",#N/A,FALSE,"EAST TOWER";#N/A,#N/A,FALSE,"WEST TOWER";"Parking",#N/A,FALSE,"EAST TOWER"}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enario." localSheetId="5" hidden="1">{"scen1",#N/A,FALSE,"Scenarios";"scen2",#N/A,FALSE,"Scenarios"}</definedName>
    <definedName name="wrn.Scenario." hidden="1">{"scen1",#N/A,FALSE,"Scenarios";"scen2",#N/A,FALSE,"Scenarios"}</definedName>
    <definedName name="wrn.SCHAs." localSheetId="5" hidden="1">{"ACCOUNTING COPY",#N/A,FALSE,"SCHEDULE A";"FINANCE COPY",#N/A,FALSE,"SCHEDULE A";"P.L. COPY",#N/A,FALSE,"SCHEDULE A"}</definedName>
    <definedName name="wrn.SCHAs." hidden="1">{"ACCOUNTING COPY",#N/A,FALSE,"SCHEDULE A";"FINANCE COPY",#N/A,FALSE,"SCHEDULE A";"P.L. COPY",#N/A,FALSE,"SCHEDULE A"}</definedName>
    <definedName name="wrn.SCHEDULES._.ABC." localSheetId="5" hidden="1">{#N/A,#N/A,FALSE,"SCHEDULE A";"MINIMUM RENT",#N/A,FALSE,"SCHEDULES B &amp; C";"PERCENTAGE RENT",#N/A,FALSE,"SCHEDULES B &amp; C"}</definedName>
    <definedName name="wrn.SCHEDULES._.ABC." hidden="1">{#N/A,#N/A,FALSE,"SCHEDULE A";"MINIMUM RENT",#N/A,FALSE,"SCHEDULES B &amp; C";"PERCENTAGE RENT",#N/A,FALSE,"SCHEDULES B &amp; C"}</definedName>
    <definedName name="wrn.summary." localSheetId="5" hidden="1">{"financials",#N/A,FALSE,"BASIC"}</definedName>
    <definedName name="wrn.summary." hidden="1">{"financials",#N/A,FALSE,"BASIC"}</definedName>
    <definedName name="wrn.SupplyDemand." localSheetId="5" hidden="1">{"demand",#N/A,FALSE,"Sheet3";"Market Mix",#N/A,FALSE,"Sheet4";"Occ Projection",#N/A,FALSE,"Sheet6"}</definedName>
    <definedName name="wrn.SupplyDemand." hidden="1">{"demand",#N/A,FALSE,"Sheet3";"Market Mix",#N/A,FALSE,"Sheet4";"Occ Projection",#N/A,FALSE,"Sheet6"}</definedName>
    <definedName name="wrn.Template." localSheetId="5" hidden="1">{#N/A,#N/A,FALSE,"1_Executive Summary";#N/A,#N/A,FALSE,"2_Assumptions";#N/A,#N/A,FALSE,"3_Footnotes";#N/A,#N/A,FALSE,"4_Cash Flow";#N/A,#N/A,FALSE,"5_Exp Detail";#N/A,#N/A,FALSE,"6_Residual - Marketing";#N/A,#N/A,FALSE,"7_Residual Matrix";#N/A,#N/A,FALSE,"8_Pricing Matrix";#N/A,#N/A,FALSE,"9_Value Matrix";#N/A,#N/A,FALSE,"10_Vacancy Detail";#N/A,#N/A,FALSE,"12_Expiration Schedule";#N/A,#N/A,FALSE,"13_Exp Analysis Fixed-Var";#N/A,#N/A,FALSE,"14_Existing vs Mkt"}</definedName>
    <definedName name="wrn.Template." hidden="1">{#N/A,#N/A,FALSE,"1_Executive Summary";#N/A,#N/A,FALSE,"2_Assumptions";#N/A,#N/A,FALSE,"3_Footnotes";#N/A,#N/A,FALSE,"4_Cash Flow";#N/A,#N/A,FALSE,"5_Exp Detail";#N/A,#N/A,FALSE,"6_Residual - Marketing";#N/A,#N/A,FALSE,"7_Residual Matrix";#N/A,#N/A,FALSE,"8_Pricing Matrix";#N/A,#N/A,FALSE,"9_Value Matrix";#N/A,#N/A,FALSE,"10_Vacancy Detail";#N/A,#N/A,FALSE,"12_Expiration Schedule";#N/A,#N/A,FALSE,"13_Exp Analysis Fixed-Var";#N/A,#N/A,FALSE,"14_Existing vs Mkt"}</definedName>
    <definedName name="wrn.TEST." localSheetId="5" hidden="1">{#N/A,#N/A,FALSE,"SCHEDULE G"}</definedName>
    <definedName name="wrn.TEST." hidden="1">{#N/A,#N/A,FALSE,"SCHEDULE G"}</definedName>
    <definedName name="wrn.Tycon._.Model." localSheetId="5" hidden="1">{"rtn",#N/A,FALSE,"RTN";"tables",#N/A,FALSE,"RTN";"cf",#N/A,FALSE,"CF";"stats",#N/A,FALSE,"Stats";"prop",#N/A,FALSE,"Prop"}</definedName>
    <definedName name="wrn.Tycon._.Model." hidden="1">{"rtn",#N/A,FALSE,"RTN";"tables",#N/A,FALSE,"RTN";"cf",#N/A,FALSE,"CF";"stats",#N/A,FALSE,"Stats";"prop",#N/A,FALSE,"Prop"}</definedName>
    <definedName name="wrn.valuation." localSheetId="5" hidden="1">{"Page1",#N/A,FALSE,"7979";"Page2",#N/A,FALSE,"7979";"Page3",#N/A,FALSE,"7979"}</definedName>
    <definedName name="wrn.valuation." hidden="1">{"Page1",#N/A,FALSE,"7979";"Page2",#N/A,FALSE,"7979";"Page3",#N/A,FALSE,"7979"}</definedName>
    <definedName name="wrn.Value." localSheetId="5" hidden="1">{#N/A,#N/A,FALSE,"Cashflow Analysis";#N/A,#N/A,FALSE,"Sensitivity Analysis";#N/A,#N/A,FALSE,"PV";#N/A,#N/A,FALSE,"Pro Forma"}</definedName>
    <definedName name="wrn.Value." hidden="1">{#N/A,#N/A,FALSE,"Cashflow Analysis";#N/A,#N/A,FALSE,"Sensitivity Analysis";#N/A,#N/A,FALSE,"PV";#N/A,#N/A,FALSE,"Pro Forma"}</definedName>
    <definedName name="wrnprintall2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b2" localSheetId="5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printallb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x" localSheetId="5">[12]!x</definedName>
    <definedName name="x">#REF!</definedName>
    <definedName name="xfg" localSheetId="5" hidden="1">{"scen1",#N/A,FALSE,"Scenarios";"scen2",#N/A,FALSE,"Scenarios"}</definedName>
    <definedName name="xfg" hidden="1">{"scen1",#N/A,FALSE,"Scenarios";"scen2",#N/A,FALSE,"Scenarios"}</definedName>
    <definedName name="YearStart1">#REF!</definedName>
    <definedName name="YearStart2" localSheetId="5">#REF!</definedName>
    <definedName name="YearStart2">#REF!</definedName>
    <definedName name="YearStart3" localSheetId="5">#REF!</definedName>
    <definedName name="YearStart3">#REF!</definedName>
    <definedName name="YearStart4" localSheetId="5">#REF!</definedName>
    <definedName name="YearStart4">#REF!</definedName>
    <definedName name="YearStart5" localSheetId="5">#REF!</definedName>
    <definedName name="YearStart5">#REF!</definedName>
    <definedName name="YearStart6" localSheetId="5">#REF!</definedName>
    <definedName name="YearStart6">#REF!</definedName>
    <definedName name="YearStart7" localSheetId="5">#REF!</definedName>
    <definedName name="YearStart7">#REF!</definedName>
    <definedName name="YieldTitle" localSheetId="5">#REF!</definedName>
    <definedName name="YieldTitle">#REF!</definedName>
    <definedName name="YieldTitleAreaCode1" localSheetId="5">#REF!</definedName>
    <definedName name="YieldTitleAreaCode1">#REF!</definedName>
    <definedName name="yy" localSheetId="5">#REF!</definedName>
    <definedName name="yy">#REF!</definedName>
    <definedName name="Z_0E5612F1_1C5C_4147_BE42_908BDE0B1405_.wvu.FilterData" localSheetId="5" hidden="1">#REF!</definedName>
    <definedName name="Z_0E5612F1_1C5C_4147_BE42_908BDE0B1405_.wvu.FilterData" hidden="1">#REF!</definedName>
    <definedName name="Z_0E5612F1_1C5C_4147_BE42_908BDE0B1405_.wvu.PrintTitles" localSheetId="5" hidden="1">#REF!</definedName>
    <definedName name="Z_0E5612F1_1C5C_4147_BE42_908BDE0B1405_.wvu.PrintTitles" hidden="1">#REF!</definedName>
    <definedName name="Z_893D3CDD_E6EC_4FBE_9F4B_7C063AADDAA3_.wvu.FilterData" localSheetId="5" hidden="1">#REF!</definedName>
    <definedName name="Z_893D3CDD_E6EC_4FBE_9F4B_7C063AADDAA3_.wvu.FilterData" hidden="1">#REF!</definedName>
    <definedName name="Z_893D3CDD_E6EC_4FBE_9F4B_7C063AADDAA3_.wvu.PrintTitles" localSheetId="5" hidden="1">#REF!</definedName>
    <definedName name="Z_893D3CDD_E6EC_4FBE_9F4B_7C063AADDAA3_.wvu.PrintTitles" hidden="1">#REF!</definedName>
    <definedName name="Z_893D3CDD_E6EC_4FBE_9F4B_7C063AADDAA3_.wvu.Rows" localSheetId="5" hidden="1">#REF!</definedName>
    <definedName name="Z_893D3CDD_E6EC_4FBE_9F4B_7C063AADDAA3_.wvu.Rows" hidden="1">#REF!</definedName>
    <definedName name="Z_911FCEE4_2CBF_4A90_9E55_ED72CBEECF9A_.wvu.FilterData" localSheetId="5" hidden="1">#REF!</definedName>
    <definedName name="Z_911FCEE4_2CBF_4A90_9E55_ED72CBEECF9A_.wvu.FilterData" hidden="1">#REF!</definedName>
    <definedName name="Z_C4987C22_A4BC_4088_8093_02A2E532FBED_.wvu.FilterData" localSheetId="5" hidden="1">#REF!</definedName>
    <definedName name="Z_C4987C22_A4BC_4088_8093_02A2E532FBED_.wvu.FilterData" hidden="1">#REF!</definedName>
    <definedName name="Z_C4987C22_A4BC_4088_8093_02A2E532FBED_.wvu.PrintTitles" localSheetId="5" hidden="1">#REF!</definedName>
    <definedName name="Z_C4987C22_A4BC_4088_8093_02A2E532FBED_.wvu.PrintTitles" hidden="1">#REF!</definedName>
    <definedName name="Z_F8A287BF_980C_4986_B08C_54EAB9AA17CB_.wvu.FilterData" localSheetId="5" hidden="1">#REF!</definedName>
    <definedName name="Z_F8A287BF_980C_4986_B08C_54EAB9AA17CB_.wvu.FilterData" hidden="1">#REF!</definedName>
    <definedName name="Z_F8A287BF_980C_4986_B08C_54EAB9AA17CB_.wvu.PrintTitles" localSheetId="5" hidden="1">#REF!</definedName>
    <definedName name="Z_F8A287BF_980C_4986_B08C_54EAB9AA17CB_.wvu.PrintTitles" hidden="1">#REF!</definedName>
    <definedName name="zxcv" localSheetId="5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35" l="1"/>
  <c r="Q22" i="35"/>
  <c r="Q21" i="35"/>
  <c r="Q20" i="35"/>
  <c r="Q24" i="35"/>
  <c r="D12" i="40" s="1"/>
  <c r="J14" i="39"/>
  <c r="G3" i="40"/>
  <c r="H3" i="40" s="1"/>
  <c r="I3" i="40" s="1"/>
  <c r="J3" i="40" s="1"/>
  <c r="K3" i="40" s="1"/>
  <c r="L3" i="40" s="1"/>
  <c r="M3" i="40" s="1"/>
  <c r="N3" i="40" s="1"/>
  <c r="O3" i="40" s="1"/>
  <c r="P3" i="40" s="1"/>
  <c r="Q3" i="40" s="1"/>
  <c r="R3" i="40" s="1"/>
  <c r="S3" i="40" s="1"/>
  <c r="T3" i="40" s="1"/>
  <c r="U3" i="40" s="1"/>
  <c r="V3" i="40" s="1"/>
  <c r="W3" i="40" s="1"/>
  <c r="X3" i="40" s="1"/>
  <c r="Y3" i="40" s="1"/>
  <c r="Z3" i="40" s="1"/>
  <c r="AA3" i="40" s="1"/>
  <c r="AB3" i="40" s="1"/>
  <c r="AC3" i="40" s="1"/>
  <c r="AD3" i="40" s="1"/>
  <c r="AE3" i="40" s="1"/>
  <c r="AF3" i="40" s="1"/>
  <c r="AG3" i="40" s="1"/>
  <c r="AH3" i="40" s="1"/>
  <c r="AI3" i="40" s="1"/>
  <c r="AJ3" i="40" s="1"/>
  <c r="AK3" i="40" s="1"/>
  <c r="AL3" i="40" s="1"/>
  <c r="AM3" i="40" s="1"/>
  <c r="AN3" i="40" s="1"/>
  <c r="AO3" i="40" s="1"/>
  <c r="AP3" i="40" s="1"/>
  <c r="AQ3" i="40" s="1"/>
  <c r="AR3" i="40" s="1"/>
  <c r="AS3" i="40" s="1"/>
  <c r="AT3" i="40" s="1"/>
  <c r="F3" i="40"/>
  <c r="E3" i="40"/>
  <c r="D5" i="40"/>
  <c r="S16" i="35"/>
  <c r="S15" i="35"/>
  <c r="S14" i="35"/>
  <c r="S4" i="35"/>
  <c r="S18" i="35"/>
  <c r="D8" i="40"/>
  <c r="D7" i="40"/>
  <c r="D6" i="40"/>
  <c r="C3" i="41"/>
  <c r="C4" i="41" s="1"/>
  <c r="C5" i="41" s="1"/>
  <c r="C6" i="41" s="1"/>
  <c r="C7" i="41" s="1"/>
  <c r="C8" i="41" s="1"/>
  <c r="C9" i="41" s="1"/>
  <c r="C10" i="41" s="1"/>
  <c r="C11" i="41" s="1"/>
  <c r="C12" i="41" s="1"/>
  <c r="C13" i="41" s="1"/>
  <c r="C14" i="41" s="1"/>
  <c r="C15" i="41" s="1"/>
  <c r="C16" i="41" s="1"/>
  <c r="C17" i="41" s="1"/>
  <c r="C18" i="41" s="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23" i="35" l="1"/>
  <c r="C22" i="35"/>
  <c r="D9" i="40"/>
  <c r="BJ24" i="40"/>
  <c r="BJ23" i="40"/>
  <c r="BJ22" i="40"/>
  <c r="BJ21" i="40"/>
  <c r="BJ18" i="40"/>
  <c r="BJ16" i="40"/>
  <c r="BJ15" i="40"/>
  <c r="BJ14" i="40"/>
  <c r="BJ13" i="40"/>
  <c r="BJ12" i="40"/>
  <c r="AX20" i="40"/>
  <c r="AY20" i="40"/>
  <c r="AZ20" i="40"/>
  <c r="BA20" i="40"/>
  <c r="BB20" i="40"/>
  <c r="BC20" i="40"/>
  <c r="BD20" i="40"/>
  <c r="BE20" i="40"/>
  <c r="BF20" i="40"/>
  <c r="BG20" i="40"/>
  <c r="BH20" i="40"/>
  <c r="BI20" i="40"/>
  <c r="AY19" i="40"/>
  <c r="AZ19" i="40"/>
  <c r="BA19" i="40"/>
  <c r="BB19" i="40"/>
  <c r="BC19" i="40"/>
  <c r="BD19" i="40"/>
  <c r="BE19" i="40"/>
  <c r="BF19" i="40"/>
  <c r="BG19" i="40"/>
  <c r="BH19" i="40"/>
  <c r="BI19" i="40"/>
  <c r="AX19" i="40"/>
  <c r="BJ17" i="40"/>
  <c r="AW22" i="40"/>
  <c r="E8" i="40"/>
  <c r="F8" i="40" s="1"/>
  <c r="G8" i="40" s="1"/>
  <c r="H8" i="40" s="1"/>
  <c r="I8" i="40" s="1"/>
  <c r="J8" i="40" s="1"/>
  <c r="K8" i="40" s="1"/>
  <c r="L8" i="40" s="1"/>
  <c r="M8" i="40" s="1"/>
  <c r="E7" i="40"/>
  <c r="F7" i="40" s="1"/>
  <c r="G7" i="40" s="1"/>
  <c r="H7" i="40" s="1"/>
  <c r="I7" i="40" s="1"/>
  <c r="J7" i="40" s="1"/>
  <c r="K7" i="40" s="1"/>
  <c r="L7" i="40" s="1"/>
  <c r="M7" i="40" s="1"/>
  <c r="E6" i="40"/>
  <c r="E5" i="40"/>
  <c r="N28" i="39"/>
  <c r="F6" i="40" l="1"/>
  <c r="E9" i="40"/>
  <c r="D32" i="40"/>
  <c r="B2" i="41"/>
  <c r="E2" i="41" s="1"/>
  <c r="D2" i="41"/>
  <c r="BE25" i="40"/>
  <c r="BF25" i="40"/>
  <c r="BD25" i="40"/>
  <c r="BH25" i="40"/>
  <c r="BG25" i="40"/>
  <c r="BB25" i="40"/>
  <c r="AZ25" i="40"/>
  <c r="AW25" i="40"/>
  <c r="AY25" i="40"/>
  <c r="BJ19" i="40"/>
  <c r="AX25" i="40"/>
  <c r="BJ20" i="40"/>
  <c r="BI25" i="40"/>
  <c r="BA25" i="40"/>
  <c r="BC25" i="40"/>
  <c r="N8" i="40"/>
  <c r="O8" i="40" s="1"/>
  <c r="N7" i="40"/>
  <c r="O7" i="40" s="1"/>
  <c r="F5" i="40"/>
  <c r="X7" i="35"/>
  <c r="Y7" i="35" s="1"/>
  <c r="X9" i="35"/>
  <c r="Y9" i="35" s="1"/>
  <c r="X10" i="35"/>
  <c r="Y10" i="35" s="1"/>
  <c r="X11" i="35"/>
  <c r="Y11" i="35" s="1"/>
  <c r="W5" i="35"/>
  <c r="X5" i="35" s="1"/>
  <c r="Y5" i="35" s="1"/>
  <c r="W6" i="35"/>
  <c r="X6" i="35" s="1"/>
  <c r="Y6" i="35" s="1"/>
  <c r="W7" i="35"/>
  <c r="W8" i="35"/>
  <c r="X8" i="35" s="1"/>
  <c r="Y8" i="35" s="1"/>
  <c r="W9" i="35"/>
  <c r="W10" i="35"/>
  <c r="W11" i="35"/>
  <c r="W12" i="35"/>
  <c r="X12" i="35" s="1"/>
  <c r="Y12" i="35" s="1"/>
  <c r="W13" i="35"/>
  <c r="X13" i="35" s="1"/>
  <c r="Y13" i="35" s="1"/>
  <c r="S5" i="35"/>
  <c r="S6" i="35"/>
  <c r="S7" i="35"/>
  <c r="S8" i="35"/>
  <c r="S9" i="35"/>
  <c r="S10" i="35"/>
  <c r="S11" i="35"/>
  <c r="S12" i="35"/>
  <c r="S13" i="35"/>
  <c r="O14" i="35"/>
  <c r="H9" i="39"/>
  <c r="O4" i="35" s="1"/>
  <c r="H8" i="39"/>
  <c r="G5" i="35"/>
  <c r="G6" i="35"/>
  <c r="G7" i="35"/>
  <c r="G8" i="35"/>
  <c r="G9" i="35"/>
  <c r="G10" i="35"/>
  <c r="G11" i="35"/>
  <c r="G12" i="35"/>
  <c r="G13" i="35"/>
  <c r="H14" i="35"/>
  <c r="D14" i="35"/>
  <c r="D4" i="35"/>
  <c r="L4" i="35" s="1"/>
  <c r="E22" i="39"/>
  <c r="E21" i="39"/>
  <c r="G6" i="40" l="1"/>
  <c r="F9" i="40"/>
  <c r="P7" i="40"/>
  <c r="Q7" i="40" s="1"/>
  <c r="R7" i="40" s="1"/>
  <c r="S7" i="40" s="1"/>
  <c r="T7" i="40" s="1"/>
  <c r="U7" i="40" s="1"/>
  <c r="V7" i="40" s="1"/>
  <c r="W7" i="40" s="1"/>
  <c r="X7" i="40" s="1"/>
  <c r="P8" i="40"/>
  <c r="Q8" i="40" s="1"/>
  <c r="R8" i="40" s="1"/>
  <c r="S8" i="40" s="1"/>
  <c r="T8" i="40" s="1"/>
  <c r="U8" i="40" s="1"/>
  <c r="V8" i="40" s="1"/>
  <c r="W8" i="40" s="1"/>
  <c r="X8" i="40" s="1"/>
  <c r="B3" i="41"/>
  <c r="G31" i="40"/>
  <c r="D3" i="41"/>
  <c r="G30" i="40"/>
  <c r="G14" i="35"/>
  <c r="U14" i="35"/>
  <c r="G5" i="40"/>
  <c r="W14" i="35"/>
  <c r="X14" i="35" s="1"/>
  <c r="Y14" i="35" s="1"/>
  <c r="F450" i="39"/>
  <c r="E17" i="39" s="1"/>
  <c r="C450" i="39"/>
  <c r="J448" i="39"/>
  <c r="J449" i="39"/>
  <c r="J447" i="39"/>
  <c r="I449" i="39"/>
  <c r="I448" i="39"/>
  <c r="I447" i="39"/>
  <c r="H6" i="40" l="1"/>
  <c r="G9" i="40"/>
  <c r="Y8" i="40"/>
  <c r="Z8" i="40" s="1"/>
  <c r="AA8" i="40" s="1"/>
  <c r="Y7" i="40"/>
  <c r="Z7" i="40" s="1"/>
  <c r="AA7" i="40" s="1"/>
  <c r="D4" i="41"/>
  <c r="J31" i="40"/>
  <c r="E3" i="41"/>
  <c r="B4" i="41"/>
  <c r="H5" i="40"/>
  <c r="I450" i="39"/>
  <c r="J450" i="39"/>
  <c r="H450" i="39" s="1"/>
  <c r="H5" i="39" s="1"/>
  <c r="I6" i="40" l="1"/>
  <c r="AB7" i="40"/>
  <c r="AC7" i="40" s="1"/>
  <c r="AD7" i="40" s="1"/>
  <c r="AE7" i="40" s="1"/>
  <c r="AF7" i="40" s="1"/>
  <c r="AG7" i="40" s="1"/>
  <c r="AH7" i="40" s="1"/>
  <c r="AI7" i="40" s="1"/>
  <c r="AJ7" i="40" s="1"/>
  <c r="AK7" i="40" s="1"/>
  <c r="AL7" i="40" s="1"/>
  <c r="AM7" i="40" s="1"/>
  <c r="AB8" i="40"/>
  <c r="AC8" i="40" s="1"/>
  <c r="AD8" i="40" s="1"/>
  <c r="AE8" i="40" s="1"/>
  <c r="AF8" i="40" s="1"/>
  <c r="AG8" i="40" s="1"/>
  <c r="AH8" i="40" s="1"/>
  <c r="AI8" i="40" s="1"/>
  <c r="AJ8" i="40" s="1"/>
  <c r="AK8" i="40" s="1"/>
  <c r="AL8" i="40" s="1"/>
  <c r="AM8" i="40" s="1"/>
  <c r="J30" i="40"/>
  <c r="B5" i="41"/>
  <c r="E4" i="41"/>
  <c r="M30" i="40" s="1"/>
  <c r="D5" i="41"/>
  <c r="M31" i="40"/>
  <c r="I5" i="40"/>
  <c r="H9" i="40"/>
  <c r="F28" i="39"/>
  <c r="E16" i="39" s="1"/>
  <c r="L442" i="39"/>
  <c r="G442" i="39"/>
  <c r="H442" i="39" s="1"/>
  <c r="I442" i="39" s="1"/>
  <c r="J442" i="39" s="1"/>
  <c r="L441" i="39"/>
  <c r="G441" i="39"/>
  <c r="H441" i="39" s="1"/>
  <c r="I441" i="39" s="1"/>
  <c r="J441" i="39" s="1"/>
  <c r="L440" i="39"/>
  <c r="G440" i="39"/>
  <c r="H440" i="39" s="1"/>
  <c r="I440" i="39" s="1"/>
  <c r="J440" i="39" s="1"/>
  <c r="L439" i="39"/>
  <c r="G439" i="39"/>
  <c r="H439" i="39" s="1"/>
  <c r="I439" i="39" s="1"/>
  <c r="J439" i="39" s="1"/>
  <c r="L438" i="39"/>
  <c r="G438" i="39"/>
  <c r="H438" i="39" s="1"/>
  <c r="I438" i="39" s="1"/>
  <c r="J438" i="39" s="1"/>
  <c r="L437" i="39"/>
  <c r="G437" i="39"/>
  <c r="H437" i="39" s="1"/>
  <c r="I437" i="39" s="1"/>
  <c r="J437" i="39" s="1"/>
  <c r="L436" i="39"/>
  <c r="G436" i="39"/>
  <c r="H436" i="39" s="1"/>
  <c r="I436" i="39" s="1"/>
  <c r="J436" i="39" s="1"/>
  <c r="L435" i="39"/>
  <c r="H435" i="39"/>
  <c r="I435" i="39" s="1"/>
  <c r="J435" i="39" s="1"/>
  <c r="G435" i="39"/>
  <c r="L434" i="39"/>
  <c r="G434" i="39"/>
  <c r="H434" i="39" s="1"/>
  <c r="I434" i="39" s="1"/>
  <c r="J434" i="39" s="1"/>
  <c r="L433" i="39"/>
  <c r="G433" i="39"/>
  <c r="H433" i="39" s="1"/>
  <c r="I433" i="39" s="1"/>
  <c r="J433" i="39" s="1"/>
  <c r="L432" i="39"/>
  <c r="G432" i="39"/>
  <c r="H432" i="39" s="1"/>
  <c r="I432" i="39" s="1"/>
  <c r="J432" i="39" s="1"/>
  <c r="L431" i="39"/>
  <c r="G431" i="39"/>
  <c r="H431" i="39" s="1"/>
  <c r="I431" i="39" s="1"/>
  <c r="J431" i="39" s="1"/>
  <c r="L430" i="39"/>
  <c r="G430" i="39"/>
  <c r="H430" i="39" s="1"/>
  <c r="I430" i="39" s="1"/>
  <c r="J430" i="39" s="1"/>
  <c r="L429" i="39"/>
  <c r="G429" i="39"/>
  <c r="H429" i="39" s="1"/>
  <c r="I429" i="39" s="1"/>
  <c r="J429" i="39" s="1"/>
  <c r="L428" i="39"/>
  <c r="G428" i="39"/>
  <c r="H428" i="39" s="1"/>
  <c r="I428" i="39" s="1"/>
  <c r="J428" i="39" s="1"/>
  <c r="L427" i="39"/>
  <c r="G427" i="39"/>
  <c r="H427" i="39" s="1"/>
  <c r="I427" i="39" s="1"/>
  <c r="J427" i="39" s="1"/>
  <c r="L426" i="39"/>
  <c r="G426" i="39"/>
  <c r="H426" i="39" s="1"/>
  <c r="I426" i="39" s="1"/>
  <c r="J426" i="39" s="1"/>
  <c r="L425" i="39"/>
  <c r="G425" i="39"/>
  <c r="H425" i="39" s="1"/>
  <c r="I425" i="39" s="1"/>
  <c r="J425" i="39" s="1"/>
  <c r="L424" i="39"/>
  <c r="G424" i="39"/>
  <c r="H424" i="39" s="1"/>
  <c r="I424" i="39" s="1"/>
  <c r="J424" i="39" s="1"/>
  <c r="L423" i="39"/>
  <c r="G423" i="39"/>
  <c r="H423" i="39" s="1"/>
  <c r="I423" i="39" s="1"/>
  <c r="J423" i="39" s="1"/>
  <c r="L422" i="39"/>
  <c r="G422" i="39"/>
  <c r="H422" i="39" s="1"/>
  <c r="I422" i="39" s="1"/>
  <c r="J422" i="39" s="1"/>
  <c r="L421" i="39"/>
  <c r="G421" i="39"/>
  <c r="H421" i="39" s="1"/>
  <c r="I421" i="39" s="1"/>
  <c r="J421" i="39" s="1"/>
  <c r="L420" i="39"/>
  <c r="G420" i="39"/>
  <c r="H420" i="39" s="1"/>
  <c r="I420" i="39" s="1"/>
  <c r="J420" i="39" s="1"/>
  <c r="L419" i="39"/>
  <c r="G419" i="39"/>
  <c r="H419" i="39" s="1"/>
  <c r="I419" i="39" s="1"/>
  <c r="J419" i="39" s="1"/>
  <c r="L418" i="39"/>
  <c r="G418" i="39"/>
  <c r="H418" i="39" s="1"/>
  <c r="I418" i="39" s="1"/>
  <c r="J418" i="39" s="1"/>
  <c r="L417" i="39"/>
  <c r="G417" i="39"/>
  <c r="H417" i="39" s="1"/>
  <c r="I417" i="39" s="1"/>
  <c r="J417" i="39" s="1"/>
  <c r="L416" i="39"/>
  <c r="G416" i="39"/>
  <c r="H416" i="39" s="1"/>
  <c r="I416" i="39" s="1"/>
  <c r="J416" i="39" s="1"/>
  <c r="L415" i="39"/>
  <c r="G415" i="39"/>
  <c r="H415" i="39" s="1"/>
  <c r="I415" i="39" s="1"/>
  <c r="J415" i="39" s="1"/>
  <c r="L414" i="39"/>
  <c r="G414" i="39"/>
  <c r="H414" i="39" s="1"/>
  <c r="I414" i="39" s="1"/>
  <c r="J414" i="39" s="1"/>
  <c r="L413" i="39"/>
  <c r="G413" i="39"/>
  <c r="H413" i="39" s="1"/>
  <c r="I413" i="39" s="1"/>
  <c r="J413" i="39" s="1"/>
  <c r="L412" i="39"/>
  <c r="G412" i="39"/>
  <c r="H412" i="39" s="1"/>
  <c r="I412" i="39" s="1"/>
  <c r="J412" i="39" s="1"/>
  <c r="L411" i="39"/>
  <c r="G411" i="39"/>
  <c r="H411" i="39" s="1"/>
  <c r="I411" i="39" s="1"/>
  <c r="J411" i="39" s="1"/>
  <c r="L410" i="39"/>
  <c r="G410" i="39"/>
  <c r="H410" i="39" s="1"/>
  <c r="I410" i="39" s="1"/>
  <c r="J410" i="39" s="1"/>
  <c r="L409" i="39"/>
  <c r="G409" i="39"/>
  <c r="H409" i="39" s="1"/>
  <c r="I409" i="39" s="1"/>
  <c r="J409" i="39" s="1"/>
  <c r="L408" i="39"/>
  <c r="G408" i="39"/>
  <c r="H408" i="39" s="1"/>
  <c r="I408" i="39" s="1"/>
  <c r="J408" i="39" s="1"/>
  <c r="L407" i="39"/>
  <c r="G407" i="39"/>
  <c r="H407" i="39" s="1"/>
  <c r="I407" i="39" s="1"/>
  <c r="J407" i="39" s="1"/>
  <c r="L406" i="39"/>
  <c r="G406" i="39"/>
  <c r="H406" i="39" s="1"/>
  <c r="I406" i="39" s="1"/>
  <c r="J406" i="39" s="1"/>
  <c r="L405" i="39"/>
  <c r="G405" i="39"/>
  <c r="H405" i="39" s="1"/>
  <c r="I405" i="39" s="1"/>
  <c r="J405" i="39" s="1"/>
  <c r="L404" i="39"/>
  <c r="G404" i="39"/>
  <c r="H404" i="39" s="1"/>
  <c r="I404" i="39" s="1"/>
  <c r="J404" i="39" s="1"/>
  <c r="L403" i="39"/>
  <c r="G403" i="39"/>
  <c r="H403" i="39" s="1"/>
  <c r="I403" i="39" s="1"/>
  <c r="J403" i="39" s="1"/>
  <c r="L402" i="39"/>
  <c r="G402" i="39"/>
  <c r="H402" i="39" s="1"/>
  <c r="I402" i="39" s="1"/>
  <c r="J402" i="39" s="1"/>
  <c r="L401" i="39"/>
  <c r="G401" i="39"/>
  <c r="H401" i="39" s="1"/>
  <c r="I401" i="39" s="1"/>
  <c r="J401" i="39" s="1"/>
  <c r="L400" i="39"/>
  <c r="G400" i="39"/>
  <c r="H400" i="39" s="1"/>
  <c r="I400" i="39" s="1"/>
  <c r="J400" i="39" s="1"/>
  <c r="L399" i="39"/>
  <c r="G399" i="39"/>
  <c r="H399" i="39" s="1"/>
  <c r="I399" i="39" s="1"/>
  <c r="J399" i="39" s="1"/>
  <c r="L398" i="39"/>
  <c r="G398" i="39"/>
  <c r="H398" i="39" s="1"/>
  <c r="I398" i="39" s="1"/>
  <c r="J398" i="39" s="1"/>
  <c r="L397" i="39"/>
  <c r="G397" i="39"/>
  <c r="H397" i="39" s="1"/>
  <c r="I397" i="39" s="1"/>
  <c r="J397" i="39" s="1"/>
  <c r="L396" i="39"/>
  <c r="G396" i="39"/>
  <c r="H396" i="39" s="1"/>
  <c r="I396" i="39" s="1"/>
  <c r="J396" i="39" s="1"/>
  <c r="L395" i="39"/>
  <c r="G395" i="39"/>
  <c r="H395" i="39" s="1"/>
  <c r="I395" i="39" s="1"/>
  <c r="J395" i="39" s="1"/>
  <c r="L394" i="39"/>
  <c r="G394" i="39"/>
  <c r="H394" i="39" s="1"/>
  <c r="I394" i="39" s="1"/>
  <c r="J394" i="39" s="1"/>
  <c r="L393" i="39"/>
  <c r="G393" i="39"/>
  <c r="H393" i="39" s="1"/>
  <c r="I393" i="39" s="1"/>
  <c r="J393" i="39" s="1"/>
  <c r="L392" i="39"/>
  <c r="G392" i="39"/>
  <c r="H392" i="39" s="1"/>
  <c r="I392" i="39" s="1"/>
  <c r="J392" i="39" s="1"/>
  <c r="L391" i="39"/>
  <c r="G391" i="39"/>
  <c r="H391" i="39" s="1"/>
  <c r="I391" i="39" s="1"/>
  <c r="J391" i="39" s="1"/>
  <c r="L390" i="39"/>
  <c r="G390" i="39"/>
  <c r="H390" i="39" s="1"/>
  <c r="I390" i="39" s="1"/>
  <c r="J390" i="39" s="1"/>
  <c r="L389" i="39"/>
  <c r="G389" i="39"/>
  <c r="H389" i="39" s="1"/>
  <c r="I389" i="39" s="1"/>
  <c r="J389" i="39" s="1"/>
  <c r="L388" i="39"/>
  <c r="G388" i="39"/>
  <c r="H388" i="39" s="1"/>
  <c r="I388" i="39" s="1"/>
  <c r="J388" i="39" s="1"/>
  <c r="L387" i="39"/>
  <c r="G387" i="39"/>
  <c r="H387" i="39" s="1"/>
  <c r="I387" i="39" s="1"/>
  <c r="J387" i="39" s="1"/>
  <c r="L386" i="39"/>
  <c r="G386" i="39"/>
  <c r="H386" i="39" s="1"/>
  <c r="I386" i="39" s="1"/>
  <c r="J386" i="39" s="1"/>
  <c r="L385" i="39"/>
  <c r="G385" i="39"/>
  <c r="H385" i="39" s="1"/>
  <c r="I385" i="39" s="1"/>
  <c r="J385" i="39" s="1"/>
  <c r="L384" i="39"/>
  <c r="G384" i="39"/>
  <c r="H384" i="39" s="1"/>
  <c r="I384" i="39" s="1"/>
  <c r="J384" i="39" s="1"/>
  <c r="L383" i="39"/>
  <c r="G383" i="39"/>
  <c r="H383" i="39" s="1"/>
  <c r="I383" i="39" s="1"/>
  <c r="J383" i="39" s="1"/>
  <c r="L382" i="39"/>
  <c r="G382" i="39"/>
  <c r="H382" i="39" s="1"/>
  <c r="I382" i="39" s="1"/>
  <c r="J382" i="39" s="1"/>
  <c r="L381" i="39"/>
  <c r="G381" i="39"/>
  <c r="H381" i="39" s="1"/>
  <c r="I381" i="39" s="1"/>
  <c r="J381" i="39" s="1"/>
  <c r="L380" i="39"/>
  <c r="G380" i="39"/>
  <c r="H380" i="39" s="1"/>
  <c r="I380" i="39" s="1"/>
  <c r="J380" i="39" s="1"/>
  <c r="L379" i="39"/>
  <c r="G379" i="39"/>
  <c r="H379" i="39" s="1"/>
  <c r="I379" i="39" s="1"/>
  <c r="J379" i="39" s="1"/>
  <c r="L378" i="39"/>
  <c r="G378" i="39"/>
  <c r="H378" i="39" s="1"/>
  <c r="I378" i="39" s="1"/>
  <c r="J378" i="39" s="1"/>
  <c r="L377" i="39"/>
  <c r="G377" i="39"/>
  <c r="H377" i="39" s="1"/>
  <c r="I377" i="39" s="1"/>
  <c r="J377" i="39" s="1"/>
  <c r="L376" i="39"/>
  <c r="G376" i="39"/>
  <c r="H376" i="39" s="1"/>
  <c r="I376" i="39" s="1"/>
  <c r="J376" i="39" s="1"/>
  <c r="L375" i="39"/>
  <c r="G375" i="39"/>
  <c r="H375" i="39" s="1"/>
  <c r="I375" i="39" s="1"/>
  <c r="J375" i="39" s="1"/>
  <c r="L374" i="39"/>
  <c r="G374" i="39"/>
  <c r="H374" i="39" s="1"/>
  <c r="I374" i="39" s="1"/>
  <c r="J374" i="39" s="1"/>
  <c r="L373" i="39"/>
  <c r="G373" i="39"/>
  <c r="H373" i="39" s="1"/>
  <c r="I373" i="39" s="1"/>
  <c r="J373" i="39" s="1"/>
  <c r="L372" i="39"/>
  <c r="G372" i="39"/>
  <c r="H372" i="39" s="1"/>
  <c r="I372" i="39" s="1"/>
  <c r="J372" i="39" s="1"/>
  <c r="L371" i="39"/>
  <c r="G371" i="39"/>
  <c r="H371" i="39" s="1"/>
  <c r="I371" i="39" s="1"/>
  <c r="J371" i="39" s="1"/>
  <c r="L370" i="39"/>
  <c r="G370" i="39"/>
  <c r="H370" i="39" s="1"/>
  <c r="I370" i="39" s="1"/>
  <c r="J370" i="39" s="1"/>
  <c r="L369" i="39"/>
  <c r="G369" i="39"/>
  <c r="H369" i="39" s="1"/>
  <c r="I369" i="39" s="1"/>
  <c r="J369" i="39" s="1"/>
  <c r="L368" i="39"/>
  <c r="G368" i="39"/>
  <c r="H368" i="39" s="1"/>
  <c r="I368" i="39" s="1"/>
  <c r="J368" i="39" s="1"/>
  <c r="L367" i="39"/>
  <c r="G367" i="39"/>
  <c r="H367" i="39" s="1"/>
  <c r="I367" i="39" s="1"/>
  <c r="J367" i="39" s="1"/>
  <c r="L366" i="39"/>
  <c r="G366" i="39"/>
  <c r="H366" i="39" s="1"/>
  <c r="I366" i="39" s="1"/>
  <c r="J366" i="39" s="1"/>
  <c r="L365" i="39"/>
  <c r="G365" i="39"/>
  <c r="H365" i="39" s="1"/>
  <c r="I365" i="39" s="1"/>
  <c r="J365" i="39" s="1"/>
  <c r="L364" i="39"/>
  <c r="G364" i="39"/>
  <c r="H364" i="39" s="1"/>
  <c r="I364" i="39" s="1"/>
  <c r="J364" i="39" s="1"/>
  <c r="L363" i="39"/>
  <c r="G363" i="39"/>
  <c r="H363" i="39" s="1"/>
  <c r="I363" i="39" s="1"/>
  <c r="J363" i="39" s="1"/>
  <c r="L362" i="39"/>
  <c r="G362" i="39"/>
  <c r="H362" i="39" s="1"/>
  <c r="I362" i="39" s="1"/>
  <c r="J362" i="39" s="1"/>
  <c r="L361" i="39"/>
  <c r="G361" i="39"/>
  <c r="H361" i="39" s="1"/>
  <c r="I361" i="39" s="1"/>
  <c r="J361" i="39" s="1"/>
  <c r="L360" i="39"/>
  <c r="G360" i="39"/>
  <c r="H360" i="39" s="1"/>
  <c r="I360" i="39" s="1"/>
  <c r="J360" i="39" s="1"/>
  <c r="L359" i="39"/>
  <c r="G359" i="39"/>
  <c r="H359" i="39" s="1"/>
  <c r="I359" i="39" s="1"/>
  <c r="J359" i="39" s="1"/>
  <c r="L358" i="39"/>
  <c r="G358" i="39"/>
  <c r="H358" i="39" s="1"/>
  <c r="I358" i="39" s="1"/>
  <c r="J358" i="39" s="1"/>
  <c r="L357" i="39"/>
  <c r="G357" i="39"/>
  <c r="H357" i="39" s="1"/>
  <c r="I357" i="39" s="1"/>
  <c r="J357" i="39" s="1"/>
  <c r="L356" i="39"/>
  <c r="G356" i="39"/>
  <c r="H356" i="39" s="1"/>
  <c r="I356" i="39" s="1"/>
  <c r="J356" i="39" s="1"/>
  <c r="L355" i="39"/>
  <c r="G355" i="39"/>
  <c r="H355" i="39" s="1"/>
  <c r="I355" i="39" s="1"/>
  <c r="J355" i="39" s="1"/>
  <c r="L354" i="39"/>
  <c r="G354" i="39"/>
  <c r="H354" i="39" s="1"/>
  <c r="I354" i="39" s="1"/>
  <c r="J354" i="39" s="1"/>
  <c r="L353" i="39"/>
  <c r="G353" i="39"/>
  <c r="H353" i="39" s="1"/>
  <c r="I353" i="39" s="1"/>
  <c r="J353" i="39" s="1"/>
  <c r="L352" i="39"/>
  <c r="G352" i="39"/>
  <c r="H352" i="39" s="1"/>
  <c r="I352" i="39" s="1"/>
  <c r="J352" i="39" s="1"/>
  <c r="L351" i="39"/>
  <c r="G351" i="39"/>
  <c r="H351" i="39" s="1"/>
  <c r="I351" i="39" s="1"/>
  <c r="J351" i="39" s="1"/>
  <c r="L350" i="39"/>
  <c r="G350" i="39"/>
  <c r="H350" i="39" s="1"/>
  <c r="I350" i="39" s="1"/>
  <c r="J350" i="39" s="1"/>
  <c r="L349" i="39"/>
  <c r="G349" i="39"/>
  <c r="H349" i="39" s="1"/>
  <c r="I349" i="39" s="1"/>
  <c r="J349" i="39" s="1"/>
  <c r="L348" i="39"/>
  <c r="G348" i="39"/>
  <c r="H348" i="39" s="1"/>
  <c r="I348" i="39" s="1"/>
  <c r="J348" i="39" s="1"/>
  <c r="L347" i="39"/>
  <c r="G347" i="39"/>
  <c r="H347" i="39" s="1"/>
  <c r="I347" i="39" s="1"/>
  <c r="J347" i="39" s="1"/>
  <c r="L346" i="39"/>
  <c r="G346" i="39"/>
  <c r="H346" i="39" s="1"/>
  <c r="I346" i="39" s="1"/>
  <c r="J346" i="39" s="1"/>
  <c r="L345" i="39"/>
  <c r="G345" i="39"/>
  <c r="H345" i="39" s="1"/>
  <c r="I345" i="39" s="1"/>
  <c r="J345" i="39" s="1"/>
  <c r="L344" i="39"/>
  <c r="G344" i="39"/>
  <c r="H344" i="39" s="1"/>
  <c r="I344" i="39" s="1"/>
  <c r="J344" i="39" s="1"/>
  <c r="L343" i="39"/>
  <c r="G343" i="39"/>
  <c r="H343" i="39" s="1"/>
  <c r="I343" i="39" s="1"/>
  <c r="J343" i="39" s="1"/>
  <c r="L342" i="39"/>
  <c r="G342" i="39"/>
  <c r="H342" i="39" s="1"/>
  <c r="I342" i="39" s="1"/>
  <c r="J342" i="39" s="1"/>
  <c r="L341" i="39"/>
  <c r="G341" i="39"/>
  <c r="H341" i="39" s="1"/>
  <c r="I341" i="39" s="1"/>
  <c r="J341" i="39" s="1"/>
  <c r="L340" i="39"/>
  <c r="G340" i="39"/>
  <c r="H340" i="39" s="1"/>
  <c r="I340" i="39" s="1"/>
  <c r="J340" i="39" s="1"/>
  <c r="L339" i="39"/>
  <c r="G339" i="39"/>
  <c r="H339" i="39" s="1"/>
  <c r="I339" i="39" s="1"/>
  <c r="J339" i="39" s="1"/>
  <c r="L338" i="39"/>
  <c r="G338" i="39"/>
  <c r="H338" i="39" s="1"/>
  <c r="I338" i="39" s="1"/>
  <c r="J338" i="39" s="1"/>
  <c r="L337" i="39"/>
  <c r="G337" i="39"/>
  <c r="H337" i="39" s="1"/>
  <c r="I337" i="39" s="1"/>
  <c r="J337" i="39" s="1"/>
  <c r="L336" i="39"/>
  <c r="G336" i="39"/>
  <c r="H336" i="39" s="1"/>
  <c r="I336" i="39" s="1"/>
  <c r="J336" i="39" s="1"/>
  <c r="L335" i="39"/>
  <c r="G335" i="39"/>
  <c r="H335" i="39" s="1"/>
  <c r="I335" i="39" s="1"/>
  <c r="J335" i="39" s="1"/>
  <c r="L334" i="39"/>
  <c r="G334" i="39"/>
  <c r="H334" i="39" s="1"/>
  <c r="I334" i="39" s="1"/>
  <c r="J334" i="39" s="1"/>
  <c r="L333" i="39"/>
  <c r="G333" i="39"/>
  <c r="H333" i="39" s="1"/>
  <c r="I333" i="39" s="1"/>
  <c r="J333" i="39" s="1"/>
  <c r="L332" i="39"/>
  <c r="G332" i="39"/>
  <c r="H332" i="39" s="1"/>
  <c r="I332" i="39" s="1"/>
  <c r="J332" i="39" s="1"/>
  <c r="L331" i="39"/>
  <c r="G331" i="39"/>
  <c r="H331" i="39" s="1"/>
  <c r="I331" i="39" s="1"/>
  <c r="J331" i="39" s="1"/>
  <c r="L330" i="39"/>
  <c r="G330" i="39"/>
  <c r="H330" i="39" s="1"/>
  <c r="I330" i="39" s="1"/>
  <c r="J330" i="39" s="1"/>
  <c r="L329" i="39"/>
  <c r="G329" i="39"/>
  <c r="H329" i="39" s="1"/>
  <c r="I329" i="39" s="1"/>
  <c r="J329" i="39" s="1"/>
  <c r="L328" i="39"/>
  <c r="G328" i="39"/>
  <c r="H328" i="39" s="1"/>
  <c r="I328" i="39" s="1"/>
  <c r="J328" i="39" s="1"/>
  <c r="L327" i="39"/>
  <c r="G327" i="39"/>
  <c r="H327" i="39" s="1"/>
  <c r="I327" i="39" s="1"/>
  <c r="J327" i="39" s="1"/>
  <c r="L326" i="39"/>
  <c r="G326" i="39"/>
  <c r="H326" i="39" s="1"/>
  <c r="I326" i="39" s="1"/>
  <c r="J326" i="39" s="1"/>
  <c r="L325" i="39"/>
  <c r="G325" i="39"/>
  <c r="H325" i="39" s="1"/>
  <c r="I325" i="39" s="1"/>
  <c r="J325" i="39" s="1"/>
  <c r="L324" i="39"/>
  <c r="G324" i="39"/>
  <c r="H324" i="39" s="1"/>
  <c r="I324" i="39" s="1"/>
  <c r="J324" i="39" s="1"/>
  <c r="L323" i="39"/>
  <c r="G323" i="39"/>
  <c r="H323" i="39" s="1"/>
  <c r="I323" i="39" s="1"/>
  <c r="J323" i="39" s="1"/>
  <c r="L322" i="39"/>
  <c r="G322" i="39"/>
  <c r="H322" i="39" s="1"/>
  <c r="I322" i="39" s="1"/>
  <c r="J322" i="39" s="1"/>
  <c r="L321" i="39"/>
  <c r="G321" i="39"/>
  <c r="H321" i="39" s="1"/>
  <c r="I321" i="39" s="1"/>
  <c r="J321" i="39" s="1"/>
  <c r="L320" i="39"/>
  <c r="G320" i="39"/>
  <c r="H320" i="39" s="1"/>
  <c r="I320" i="39" s="1"/>
  <c r="J320" i="39" s="1"/>
  <c r="L319" i="39"/>
  <c r="G319" i="39"/>
  <c r="H319" i="39" s="1"/>
  <c r="I319" i="39" s="1"/>
  <c r="J319" i="39" s="1"/>
  <c r="L318" i="39"/>
  <c r="G318" i="39"/>
  <c r="H318" i="39" s="1"/>
  <c r="I318" i="39" s="1"/>
  <c r="J318" i="39" s="1"/>
  <c r="L317" i="39"/>
  <c r="G317" i="39"/>
  <c r="H317" i="39" s="1"/>
  <c r="I317" i="39" s="1"/>
  <c r="J317" i="39" s="1"/>
  <c r="L316" i="39"/>
  <c r="G316" i="39"/>
  <c r="H316" i="39" s="1"/>
  <c r="I316" i="39" s="1"/>
  <c r="J316" i="39" s="1"/>
  <c r="L315" i="39"/>
  <c r="G315" i="39"/>
  <c r="H315" i="39" s="1"/>
  <c r="I315" i="39" s="1"/>
  <c r="J315" i="39" s="1"/>
  <c r="L314" i="39"/>
  <c r="G314" i="39"/>
  <c r="H314" i="39" s="1"/>
  <c r="I314" i="39" s="1"/>
  <c r="J314" i="39" s="1"/>
  <c r="L313" i="39"/>
  <c r="G313" i="39"/>
  <c r="H313" i="39" s="1"/>
  <c r="I313" i="39" s="1"/>
  <c r="J313" i="39" s="1"/>
  <c r="L312" i="39"/>
  <c r="G312" i="39"/>
  <c r="H312" i="39" s="1"/>
  <c r="I312" i="39" s="1"/>
  <c r="J312" i="39" s="1"/>
  <c r="L311" i="39"/>
  <c r="G311" i="39"/>
  <c r="H311" i="39" s="1"/>
  <c r="I311" i="39" s="1"/>
  <c r="J311" i="39" s="1"/>
  <c r="L310" i="39"/>
  <c r="G310" i="39"/>
  <c r="H310" i="39" s="1"/>
  <c r="I310" i="39" s="1"/>
  <c r="J310" i="39" s="1"/>
  <c r="L309" i="39"/>
  <c r="G309" i="39"/>
  <c r="H309" i="39" s="1"/>
  <c r="I309" i="39" s="1"/>
  <c r="J309" i="39" s="1"/>
  <c r="L308" i="39"/>
  <c r="G308" i="39"/>
  <c r="H308" i="39" s="1"/>
  <c r="I308" i="39" s="1"/>
  <c r="J308" i="39" s="1"/>
  <c r="L307" i="39"/>
  <c r="G307" i="39"/>
  <c r="H307" i="39" s="1"/>
  <c r="I307" i="39" s="1"/>
  <c r="J307" i="39" s="1"/>
  <c r="L306" i="39"/>
  <c r="G306" i="39"/>
  <c r="H306" i="39" s="1"/>
  <c r="I306" i="39" s="1"/>
  <c r="J306" i="39" s="1"/>
  <c r="L305" i="39"/>
  <c r="G305" i="39"/>
  <c r="H305" i="39" s="1"/>
  <c r="I305" i="39" s="1"/>
  <c r="J305" i="39" s="1"/>
  <c r="L304" i="39"/>
  <c r="G304" i="39"/>
  <c r="H304" i="39" s="1"/>
  <c r="I304" i="39" s="1"/>
  <c r="J304" i="39" s="1"/>
  <c r="L303" i="39"/>
  <c r="G303" i="39"/>
  <c r="H303" i="39" s="1"/>
  <c r="I303" i="39" s="1"/>
  <c r="J303" i="39" s="1"/>
  <c r="L302" i="39"/>
  <c r="G302" i="39"/>
  <c r="H302" i="39" s="1"/>
  <c r="I302" i="39" s="1"/>
  <c r="J302" i="39" s="1"/>
  <c r="L301" i="39"/>
  <c r="G301" i="39"/>
  <c r="H301" i="39" s="1"/>
  <c r="I301" i="39" s="1"/>
  <c r="J301" i="39" s="1"/>
  <c r="L300" i="39"/>
  <c r="G300" i="39"/>
  <c r="H300" i="39" s="1"/>
  <c r="I300" i="39" s="1"/>
  <c r="J300" i="39" s="1"/>
  <c r="L299" i="39"/>
  <c r="G299" i="39"/>
  <c r="H299" i="39" s="1"/>
  <c r="I299" i="39" s="1"/>
  <c r="J299" i="39" s="1"/>
  <c r="L298" i="39"/>
  <c r="G298" i="39"/>
  <c r="H298" i="39" s="1"/>
  <c r="I298" i="39" s="1"/>
  <c r="J298" i="39" s="1"/>
  <c r="L297" i="39"/>
  <c r="G297" i="39"/>
  <c r="H297" i="39" s="1"/>
  <c r="I297" i="39" s="1"/>
  <c r="J297" i="39" s="1"/>
  <c r="L296" i="39"/>
  <c r="G296" i="39"/>
  <c r="H296" i="39" s="1"/>
  <c r="I296" i="39" s="1"/>
  <c r="J296" i="39" s="1"/>
  <c r="L295" i="39"/>
  <c r="G295" i="39"/>
  <c r="H295" i="39" s="1"/>
  <c r="I295" i="39" s="1"/>
  <c r="J295" i="39" s="1"/>
  <c r="L294" i="39"/>
  <c r="G294" i="39"/>
  <c r="H294" i="39" s="1"/>
  <c r="I294" i="39" s="1"/>
  <c r="J294" i="39" s="1"/>
  <c r="L293" i="39"/>
  <c r="H293" i="39"/>
  <c r="I293" i="39" s="1"/>
  <c r="J293" i="39" s="1"/>
  <c r="G293" i="39"/>
  <c r="L292" i="39"/>
  <c r="G292" i="39"/>
  <c r="H292" i="39" s="1"/>
  <c r="I292" i="39" s="1"/>
  <c r="J292" i="39" s="1"/>
  <c r="L291" i="39"/>
  <c r="G291" i="39"/>
  <c r="H291" i="39" s="1"/>
  <c r="I291" i="39" s="1"/>
  <c r="J291" i="39" s="1"/>
  <c r="L290" i="39"/>
  <c r="G290" i="39"/>
  <c r="H290" i="39" s="1"/>
  <c r="I290" i="39" s="1"/>
  <c r="J290" i="39" s="1"/>
  <c r="L289" i="39"/>
  <c r="G289" i="39"/>
  <c r="H289" i="39" s="1"/>
  <c r="I289" i="39" s="1"/>
  <c r="J289" i="39" s="1"/>
  <c r="L288" i="39"/>
  <c r="G288" i="39"/>
  <c r="H288" i="39" s="1"/>
  <c r="I288" i="39" s="1"/>
  <c r="J288" i="39" s="1"/>
  <c r="L287" i="39"/>
  <c r="G287" i="39"/>
  <c r="H287" i="39" s="1"/>
  <c r="I287" i="39" s="1"/>
  <c r="J287" i="39" s="1"/>
  <c r="L286" i="39"/>
  <c r="G286" i="39"/>
  <c r="H286" i="39" s="1"/>
  <c r="I286" i="39" s="1"/>
  <c r="J286" i="39" s="1"/>
  <c r="L285" i="39"/>
  <c r="G285" i="39"/>
  <c r="H285" i="39" s="1"/>
  <c r="I285" i="39" s="1"/>
  <c r="J285" i="39" s="1"/>
  <c r="L284" i="39"/>
  <c r="G284" i="39"/>
  <c r="H284" i="39" s="1"/>
  <c r="I284" i="39" s="1"/>
  <c r="J284" i="39" s="1"/>
  <c r="L283" i="39"/>
  <c r="G283" i="39"/>
  <c r="H283" i="39" s="1"/>
  <c r="I283" i="39" s="1"/>
  <c r="J283" i="39" s="1"/>
  <c r="L282" i="39"/>
  <c r="G282" i="39"/>
  <c r="H282" i="39" s="1"/>
  <c r="I282" i="39" s="1"/>
  <c r="J282" i="39" s="1"/>
  <c r="L281" i="39"/>
  <c r="G281" i="39"/>
  <c r="H281" i="39" s="1"/>
  <c r="I281" i="39" s="1"/>
  <c r="J281" i="39" s="1"/>
  <c r="L280" i="39"/>
  <c r="G280" i="39"/>
  <c r="H280" i="39" s="1"/>
  <c r="I280" i="39" s="1"/>
  <c r="J280" i="39" s="1"/>
  <c r="L279" i="39"/>
  <c r="G279" i="39"/>
  <c r="H279" i="39" s="1"/>
  <c r="I279" i="39" s="1"/>
  <c r="J279" i="39" s="1"/>
  <c r="L278" i="39"/>
  <c r="G278" i="39"/>
  <c r="H278" i="39" s="1"/>
  <c r="I278" i="39" s="1"/>
  <c r="J278" i="39" s="1"/>
  <c r="L277" i="39"/>
  <c r="G277" i="39"/>
  <c r="H277" i="39" s="1"/>
  <c r="I277" i="39" s="1"/>
  <c r="J277" i="39" s="1"/>
  <c r="L276" i="39"/>
  <c r="G276" i="39"/>
  <c r="H276" i="39" s="1"/>
  <c r="I276" i="39" s="1"/>
  <c r="J276" i="39" s="1"/>
  <c r="L275" i="39"/>
  <c r="G275" i="39"/>
  <c r="H275" i="39" s="1"/>
  <c r="I275" i="39" s="1"/>
  <c r="J275" i="39" s="1"/>
  <c r="L274" i="39"/>
  <c r="G274" i="39"/>
  <c r="H274" i="39" s="1"/>
  <c r="I274" i="39" s="1"/>
  <c r="J274" i="39" s="1"/>
  <c r="L273" i="39"/>
  <c r="G273" i="39"/>
  <c r="H273" i="39" s="1"/>
  <c r="I273" i="39" s="1"/>
  <c r="J273" i="39" s="1"/>
  <c r="L272" i="39"/>
  <c r="G272" i="39"/>
  <c r="H272" i="39" s="1"/>
  <c r="I272" i="39" s="1"/>
  <c r="J272" i="39" s="1"/>
  <c r="L271" i="39"/>
  <c r="G271" i="39"/>
  <c r="H271" i="39" s="1"/>
  <c r="I271" i="39" s="1"/>
  <c r="J271" i="39" s="1"/>
  <c r="L270" i="39"/>
  <c r="G270" i="39"/>
  <c r="H270" i="39" s="1"/>
  <c r="I270" i="39" s="1"/>
  <c r="J270" i="39" s="1"/>
  <c r="L269" i="39"/>
  <c r="G269" i="39"/>
  <c r="H269" i="39" s="1"/>
  <c r="I269" i="39" s="1"/>
  <c r="J269" i="39" s="1"/>
  <c r="L268" i="39"/>
  <c r="G268" i="39"/>
  <c r="H268" i="39" s="1"/>
  <c r="I268" i="39" s="1"/>
  <c r="J268" i="39" s="1"/>
  <c r="L267" i="39"/>
  <c r="G267" i="39"/>
  <c r="H267" i="39" s="1"/>
  <c r="I267" i="39" s="1"/>
  <c r="J267" i="39" s="1"/>
  <c r="L266" i="39"/>
  <c r="G266" i="39"/>
  <c r="H266" i="39" s="1"/>
  <c r="I266" i="39" s="1"/>
  <c r="J266" i="39" s="1"/>
  <c r="L265" i="39"/>
  <c r="G265" i="39"/>
  <c r="H265" i="39" s="1"/>
  <c r="I265" i="39" s="1"/>
  <c r="J265" i="39" s="1"/>
  <c r="L264" i="39"/>
  <c r="G264" i="39"/>
  <c r="H264" i="39" s="1"/>
  <c r="I264" i="39" s="1"/>
  <c r="J264" i="39" s="1"/>
  <c r="L263" i="39"/>
  <c r="G263" i="39"/>
  <c r="H263" i="39" s="1"/>
  <c r="I263" i="39" s="1"/>
  <c r="J263" i="39" s="1"/>
  <c r="L262" i="39"/>
  <c r="G262" i="39"/>
  <c r="H262" i="39" s="1"/>
  <c r="I262" i="39" s="1"/>
  <c r="J262" i="39" s="1"/>
  <c r="L261" i="39"/>
  <c r="G261" i="39"/>
  <c r="H261" i="39" s="1"/>
  <c r="I261" i="39" s="1"/>
  <c r="J261" i="39" s="1"/>
  <c r="L260" i="39"/>
  <c r="G260" i="39"/>
  <c r="H260" i="39" s="1"/>
  <c r="I260" i="39" s="1"/>
  <c r="J260" i="39" s="1"/>
  <c r="L259" i="39"/>
  <c r="G259" i="39"/>
  <c r="H259" i="39" s="1"/>
  <c r="I259" i="39" s="1"/>
  <c r="J259" i="39" s="1"/>
  <c r="L258" i="39"/>
  <c r="G258" i="39"/>
  <c r="H258" i="39" s="1"/>
  <c r="I258" i="39" s="1"/>
  <c r="J258" i="39" s="1"/>
  <c r="L257" i="39"/>
  <c r="G257" i="39"/>
  <c r="H257" i="39" s="1"/>
  <c r="I257" i="39" s="1"/>
  <c r="J257" i="39" s="1"/>
  <c r="L256" i="39"/>
  <c r="G256" i="39"/>
  <c r="H256" i="39" s="1"/>
  <c r="I256" i="39" s="1"/>
  <c r="J256" i="39" s="1"/>
  <c r="L255" i="39"/>
  <c r="G255" i="39"/>
  <c r="H255" i="39" s="1"/>
  <c r="I255" i="39" s="1"/>
  <c r="J255" i="39" s="1"/>
  <c r="L254" i="39"/>
  <c r="G254" i="39"/>
  <c r="H254" i="39" s="1"/>
  <c r="I254" i="39" s="1"/>
  <c r="J254" i="39" s="1"/>
  <c r="L253" i="39"/>
  <c r="G253" i="39"/>
  <c r="H253" i="39" s="1"/>
  <c r="I253" i="39" s="1"/>
  <c r="J253" i="39" s="1"/>
  <c r="L252" i="39"/>
  <c r="G252" i="39"/>
  <c r="H252" i="39" s="1"/>
  <c r="I252" i="39" s="1"/>
  <c r="J252" i="39" s="1"/>
  <c r="L251" i="39"/>
  <c r="G251" i="39"/>
  <c r="H251" i="39" s="1"/>
  <c r="I251" i="39" s="1"/>
  <c r="J251" i="39" s="1"/>
  <c r="L250" i="39"/>
  <c r="G250" i="39"/>
  <c r="H250" i="39" s="1"/>
  <c r="I250" i="39" s="1"/>
  <c r="J250" i="39" s="1"/>
  <c r="L249" i="39"/>
  <c r="G249" i="39"/>
  <c r="H249" i="39" s="1"/>
  <c r="I249" i="39" s="1"/>
  <c r="J249" i="39" s="1"/>
  <c r="L248" i="39"/>
  <c r="G248" i="39"/>
  <c r="H248" i="39" s="1"/>
  <c r="I248" i="39" s="1"/>
  <c r="J248" i="39" s="1"/>
  <c r="L247" i="39"/>
  <c r="G247" i="39"/>
  <c r="H247" i="39" s="1"/>
  <c r="I247" i="39" s="1"/>
  <c r="J247" i="39" s="1"/>
  <c r="L246" i="39"/>
  <c r="I246" i="39"/>
  <c r="J246" i="39" s="1"/>
  <c r="G246" i="39"/>
  <c r="H246" i="39" s="1"/>
  <c r="L245" i="39"/>
  <c r="G245" i="39"/>
  <c r="H245" i="39" s="1"/>
  <c r="I245" i="39" s="1"/>
  <c r="J245" i="39" s="1"/>
  <c r="L244" i="39"/>
  <c r="G244" i="39"/>
  <c r="H244" i="39" s="1"/>
  <c r="I244" i="39" s="1"/>
  <c r="J244" i="39" s="1"/>
  <c r="L243" i="39"/>
  <c r="G243" i="39"/>
  <c r="H243" i="39" s="1"/>
  <c r="I243" i="39" s="1"/>
  <c r="J243" i="39" s="1"/>
  <c r="L242" i="39"/>
  <c r="G242" i="39"/>
  <c r="H242" i="39" s="1"/>
  <c r="I242" i="39" s="1"/>
  <c r="J242" i="39" s="1"/>
  <c r="L241" i="39"/>
  <c r="G241" i="39"/>
  <c r="H241" i="39" s="1"/>
  <c r="I241" i="39" s="1"/>
  <c r="J241" i="39" s="1"/>
  <c r="L240" i="39"/>
  <c r="G240" i="39"/>
  <c r="H240" i="39" s="1"/>
  <c r="I240" i="39" s="1"/>
  <c r="J240" i="39" s="1"/>
  <c r="L239" i="39"/>
  <c r="G239" i="39"/>
  <c r="H239" i="39" s="1"/>
  <c r="I239" i="39" s="1"/>
  <c r="J239" i="39" s="1"/>
  <c r="L238" i="39"/>
  <c r="G238" i="39"/>
  <c r="H238" i="39" s="1"/>
  <c r="I238" i="39" s="1"/>
  <c r="J238" i="39" s="1"/>
  <c r="L237" i="39"/>
  <c r="G237" i="39"/>
  <c r="H237" i="39" s="1"/>
  <c r="I237" i="39" s="1"/>
  <c r="J237" i="39" s="1"/>
  <c r="L236" i="39"/>
  <c r="G236" i="39"/>
  <c r="H236" i="39" s="1"/>
  <c r="I236" i="39" s="1"/>
  <c r="J236" i="39" s="1"/>
  <c r="L235" i="39"/>
  <c r="G235" i="39"/>
  <c r="H235" i="39" s="1"/>
  <c r="I235" i="39" s="1"/>
  <c r="J235" i="39" s="1"/>
  <c r="L234" i="39"/>
  <c r="G234" i="39"/>
  <c r="H234" i="39" s="1"/>
  <c r="I234" i="39" s="1"/>
  <c r="J234" i="39" s="1"/>
  <c r="L233" i="39"/>
  <c r="G233" i="39"/>
  <c r="H233" i="39" s="1"/>
  <c r="I233" i="39" s="1"/>
  <c r="J233" i="39" s="1"/>
  <c r="L232" i="39"/>
  <c r="G232" i="39"/>
  <c r="H232" i="39" s="1"/>
  <c r="I232" i="39" s="1"/>
  <c r="J232" i="39" s="1"/>
  <c r="L231" i="39"/>
  <c r="G231" i="39"/>
  <c r="H231" i="39" s="1"/>
  <c r="I231" i="39" s="1"/>
  <c r="J231" i="39" s="1"/>
  <c r="L230" i="39"/>
  <c r="G230" i="39"/>
  <c r="H230" i="39" s="1"/>
  <c r="I230" i="39" s="1"/>
  <c r="J230" i="39" s="1"/>
  <c r="L229" i="39"/>
  <c r="G229" i="39"/>
  <c r="H229" i="39" s="1"/>
  <c r="I229" i="39" s="1"/>
  <c r="J229" i="39" s="1"/>
  <c r="L228" i="39"/>
  <c r="G228" i="39"/>
  <c r="H228" i="39" s="1"/>
  <c r="I228" i="39" s="1"/>
  <c r="J228" i="39" s="1"/>
  <c r="L227" i="39"/>
  <c r="G227" i="39"/>
  <c r="H227" i="39" s="1"/>
  <c r="I227" i="39" s="1"/>
  <c r="J227" i="39" s="1"/>
  <c r="L226" i="39"/>
  <c r="G226" i="39"/>
  <c r="H226" i="39" s="1"/>
  <c r="I226" i="39" s="1"/>
  <c r="J226" i="39" s="1"/>
  <c r="L225" i="39"/>
  <c r="G225" i="39"/>
  <c r="H225" i="39" s="1"/>
  <c r="I225" i="39" s="1"/>
  <c r="J225" i="39" s="1"/>
  <c r="L224" i="39"/>
  <c r="G224" i="39"/>
  <c r="H224" i="39" s="1"/>
  <c r="I224" i="39" s="1"/>
  <c r="J224" i="39" s="1"/>
  <c r="L223" i="39"/>
  <c r="G223" i="39"/>
  <c r="H223" i="39" s="1"/>
  <c r="I223" i="39" s="1"/>
  <c r="J223" i="39" s="1"/>
  <c r="L222" i="39"/>
  <c r="G222" i="39"/>
  <c r="H222" i="39" s="1"/>
  <c r="I222" i="39" s="1"/>
  <c r="J222" i="39" s="1"/>
  <c r="L221" i="39"/>
  <c r="G221" i="39"/>
  <c r="H221" i="39" s="1"/>
  <c r="I221" i="39" s="1"/>
  <c r="J221" i="39" s="1"/>
  <c r="L220" i="39"/>
  <c r="G220" i="39"/>
  <c r="H220" i="39" s="1"/>
  <c r="I220" i="39" s="1"/>
  <c r="J220" i="39" s="1"/>
  <c r="L219" i="39"/>
  <c r="G219" i="39"/>
  <c r="H219" i="39" s="1"/>
  <c r="I219" i="39" s="1"/>
  <c r="J219" i="39" s="1"/>
  <c r="L218" i="39"/>
  <c r="G218" i="39"/>
  <c r="H218" i="39" s="1"/>
  <c r="I218" i="39" s="1"/>
  <c r="J218" i="39" s="1"/>
  <c r="L217" i="39"/>
  <c r="G217" i="39"/>
  <c r="H217" i="39" s="1"/>
  <c r="I217" i="39" s="1"/>
  <c r="J217" i="39" s="1"/>
  <c r="L216" i="39"/>
  <c r="G216" i="39"/>
  <c r="H216" i="39" s="1"/>
  <c r="I216" i="39" s="1"/>
  <c r="J216" i="39" s="1"/>
  <c r="L215" i="39"/>
  <c r="G215" i="39"/>
  <c r="H215" i="39" s="1"/>
  <c r="I215" i="39" s="1"/>
  <c r="J215" i="39" s="1"/>
  <c r="L214" i="39"/>
  <c r="G214" i="39"/>
  <c r="H214" i="39" s="1"/>
  <c r="I214" i="39" s="1"/>
  <c r="J214" i="39" s="1"/>
  <c r="L213" i="39"/>
  <c r="G213" i="39"/>
  <c r="H213" i="39" s="1"/>
  <c r="I213" i="39" s="1"/>
  <c r="J213" i="39" s="1"/>
  <c r="L212" i="39"/>
  <c r="G212" i="39"/>
  <c r="H212" i="39" s="1"/>
  <c r="I212" i="39" s="1"/>
  <c r="J212" i="39" s="1"/>
  <c r="L211" i="39"/>
  <c r="G211" i="39"/>
  <c r="H211" i="39" s="1"/>
  <c r="I211" i="39" s="1"/>
  <c r="J211" i="39" s="1"/>
  <c r="L210" i="39"/>
  <c r="G210" i="39"/>
  <c r="H210" i="39" s="1"/>
  <c r="I210" i="39" s="1"/>
  <c r="J210" i="39" s="1"/>
  <c r="L209" i="39"/>
  <c r="G209" i="39"/>
  <c r="H209" i="39" s="1"/>
  <c r="I209" i="39" s="1"/>
  <c r="J209" i="39" s="1"/>
  <c r="L208" i="39"/>
  <c r="G208" i="39"/>
  <c r="H208" i="39" s="1"/>
  <c r="I208" i="39" s="1"/>
  <c r="J208" i="39" s="1"/>
  <c r="L207" i="39"/>
  <c r="G207" i="39"/>
  <c r="H207" i="39" s="1"/>
  <c r="I207" i="39" s="1"/>
  <c r="J207" i="39" s="1"/>
  <c r="L206" i="39"/>
  <c r="G206" i="39"/>
  <c r="H206" i="39" s="1"/>
  <c r="I206" i="39" s="1"/>
  <c r="J206" i="39" s="1"/>
  <c r="L205" i="39"/>
  <c r="G205" i="39"/>
  <c r="H205" i="39" s="1"/>
  <c r="I205" i="39" s="1"/>
  <c r="J205" i="39" s="1"/>
  <c r="L204" i="39"/>
  <c r="G204" i="39"/>
  <c r="H204" i="39" s="1"/>
  <c r="I204" i="39" s="1"/>
  <c r="J204" i="39" s="1"/>
  <c r="L203" i="39"/>
  <c r="G203" i="39"/>
  <c r="H203" i="39" s="1"/>
  <c r="I203" i="39" s="1"/>
  <c r="J203" i="39" s="1"/>
  <c r="L202" i="39"/>
  <c r="G202" i="39"/>
  <c r="H202" i="39" s="1"/>
  <c r="I202" i="39" s="1"/>
  <c r="J202" i="39" s="1"/>
  <c r="L201" i="39"/>
  <c r="G201" i="39"/>
  <c r="H201" i="39" s="1"/>
  <c r="I201" i="39" s="1"/>
  <c r="J201" i="39" s="1"/>
  <c r="L200" i="39"/>
  <c r="G200" i="39"/>
  <c r="H200" i="39" s="1"/>
  <c r="I200" i="39" s="1"/>
  <c r="J200" i="39" s="1"/>
  <c r="L199" i="39"/>
  <c r="G199" i="39"/>
  <c r="H199" i="39" s="1"/>
  <c r="I199" i="39" s="1"/>
  <c r="J199" i="39" s="1"/>
  <c r="L198" i="39"/>
  <c r="G198" i="39"/>
  <c r="H198" i="39" s="1"/>
  <c r="I198" i="39" s="1"/>
  <c r="J198" i="39" s="1"/>
  <c r="L197" i="39"/>
  <c r="G197" i="39"/>
  <c r="H197" i="39" s="1"/>
  <c r="I197" i="39" s="1"/>
  <c r="J197" i="39" s="1"/>
  <c r="L196" i="39"/>
  <c r="G196" i="39"/>
  <c r="H196" i="39" s="1"/>
  <c r="I196" i="39" s="1"/>
  <c r="J196" i="39" s="1"/>
  <c r="L195" i="39"/>
  <c r="G195" i="39"/>
  <c r="H195" i="39" s="1"/>
  <c r="I195" i="39" s="1"/>
  <c r="J195" i="39" s="1"/>
  <c r="L194" i="39"/>
  <c r="G194" i="39"/>
  <c r="H194" i="39" s="1"/>
  <c r="I194" i="39" s="1"/>
  <c r="J194" i="39" s="1"/>
  <c r="L193" i="39"/>
  <c r="G193" i="39"/>
  <c r="H193" i="39" s="1"/>
  <c r="I193" i="39" s="1"/>
  <c r="J193" i="39" s="1"/>
  <c r="L192" i="39"/>
  <c r="G192" i="39"/>
  <c r="H192" i="39" s="1"/>
  <c r="I192" i="39" s="1"/>
  <c r="J192" i="39" s="1"/>
  <c r="L191" i="39"/>
  <c r="G191" i="39"/>
  <c r="H191" i="39" s="1"/>
  <c r="I191" i="39" s="1"/>
  <c r="J191" i="39" s="1"/>
  <c r="L190" i="39"/>
  <c r="G190" i="39"/>
  <c r="H190" i="39" s="1"/>
  <c r="I190" i="39" s="1"/>
  <c r="J190" i="39" s="1"/>
  <c r="L189" i="39"/>
  <c r="G189" i="39"/>
  <c r="H189" i="39" s="1"/>
  <c r="I189" i="39" s="1"/>
  <c r="J189" i="39" s="1"/>
  <c r="L188" i="39"/>
  <c r="G188" i="39"/>
  <c r="H188" i="39" s="1"/>
  <c r="I188" i="39" s="1"/>
  <c r="J188" i="39" s="1"/>
  <c r="L187" i="39"/>
  <c r="G187" i="39"/>
  <c r="H187" i="39" s="1"/>
  <c r="I187" i="39" s="1"/>
  <c r="J187" i="39" s="1"/>
  <c r="L186" i="39"/>
  <c r="G186" i="39"/>
  <c r="H186" i="39" s="1"/>
  <c r="I186" i="39" s="1"/>
  <c r="J186" i="39" s="1"/>
  <c r="L185" i="39"/>
  <c r="G185" i="39"/>
  <c r="H185" i="39" s="1"/>
  <c r="I185" i="39" s="1"/>
  <c r="J185" i="39" s="1"/>
  <c r="L184" i="39"/>
  <c r="G184" i="39"/>
  <c r="H184" i="39" s="1"/>
  <c r="I184" i="39" s="1"/>
  <c r="J184" i="39" s="1"/>
  <c r="L183" i="39"/>
  <c r="G183" i="39"/>
  <c r="H183" i="39" s="1"/>
  <c r="I183" i="39" s="1"/>
  <c r="J183" i="39" s="1"/>
  <c r="L182" i="39"/>
  <c r="G182" i="39"/>
  <c r="H182" i="39" s="1"/>
  <c r="I182" i="39" s="1"/>
  <c r="J182" i="39" s="1"/>
  <c r="L181" i="39"/>
  <c r="G181" i="39"/>
  <c r="H181" i="39" s="1"/>
  <c r="I181" i="39" s="1"/>
  <c r="J181" i="39" s="1"/>
  <c r="L180" i="39"/>
  <c r="G180" i="39"/>
  <c r="H180" i="39" s="1"/>
  <c r="I180" i="39" s="1"/>
  <c r="J180" i="39" s="1"/>
  <c r="N179" i="39"/>
  <c r="L179" i="39"/>
  <c r="G179" i="39"/>
  <c r="H179" i="39" s="1"/>
  <c r="I179" i="39" s="1"/>
  <c r="J179" i="39" s="1"/>
  <c r="N178" i="39"/>
  <c r="L178" i="39"/>
  <c r="G178" i="39"/>
  <c r="H178" i="39" s="1"/>
  <c r="I178" i="39" s="1"/>
  <c r="J178" i="39" s="1"/>
  <c r="N177" i="39"/>
  <c r="L177" i="39"/>
  <c r="G177" i="39"/>
  <c r="H177" i="39" s="1"/>
  <c r="I177" i="39" s="1"/>
  <c r="J177" i="39" s="1"/>
  <c r="N176" i="39"/>
  <c r="L176" i="39"/>
  <c r="G176" i="39"/>
  <c r="H176" i="39" s="1"/>
  <c r="I176" i="39" s="1"/>
  <c r="J176" i="39" s="1"/>
  <c r="N175" i="39"/>
  <c r="L175" i="39"/>
  <c r="G175" i="39"/>
  <c r="H175" i="39" s="1"/>
  <c r="I175" i="39" s="1"/>
  <c r="J175" i="39" s="1"/>
  <c r="N174" i="39"/>
  <c r="L174" i="39"/>
  <c r="G174" i="39"/>
  <c r="H174" i="39" s="1"/>
  <c r="I174" i="39" s="1"/>
  <c r="J174" i="39" s="1"/>
  <c r="N173" i="39"/>
  <c r="L173" i="39"/>
  <c r="G173" i="39"/>
  <c r="H173" i="39" s="1"/>
  <c r="I173" i="39" s="1"/>
  <c r="J173" i="39" s="1"/>
  <c r="N172" i="39"/>
  <c r="L172" i="39"/>
  <c r="G172" i="39"/>
  <c r="H172" i="39" s="1"/>
  <c r="I172" i="39" s="1"/>
  <c r="J172" i="39" s="1"/>
  <c r="N171" i="39"/>
  <c r="L171" i="39"/>
  <c r="G171" i="39"/>
  <c r="H171" i="39" s="1"/>
  <c r="I171" i="39" s="1"/>
  <c r="J171" i="39" s="1"/>
  <c r="N170" i="39"/>
  <c r="L170" i="39"/>
  <c r="G170" i="39"/>
  <c r="H170" i="39" s="1"/>
  <c r="I170" i="39" s="1"/>
  <c r="J170" i="39" s="1"/>
  <c r="N169" i="39"/>
  <c r="L169" i="39"/>
  <c r="G169" i="39"/>
  <c r="H169" i="39" s="1"/>
  <c r="I169" i="39" s="1"/>
  <c r="J169" i="39" s="1"/>
  <c r="N168" i="39"/>
  <c r="L168" i="39"/>
  <c r="G168" i="39"/>
  <c r="H168" i="39" s="1"/>
  <c r="I168" i="39" s="1"/>
  <c r="J168" i="39" s="1"/>
  <c r="N167" i="39"/>
  <c r="L167" i="39"/>
  <c r="G167" i="39"/>
  <c r="H167" i="39" s="1"/>
  <c r="I167" i="39" s="1"/>
  <c r="J167" i="39" s="1"/>
  <c r="N166" i="39"/>
  <c r="L166" i="39"/>
  <c r="G166" i="39"/>
  <c r="H166" i="39" s="1"/>
  <c r="I166" i="39" s="1"/>
  <c r="J166" i="39" s="1"/>
  <c r="N165" i="39"/>
  <c r="L165" i="39"/>
  <c r="G165" i="39"/>
  <c r="H165" i="39" s="1"/>
  <c r="I165" i="39" s="1"/>
  <c r="J165" i="39" s="1"/>
  <c r="N164" i="39"/>
  <c r="L164" i="39"/>
  <c r="G164" i="39"/>
  <c r="H164" i="39" s="1"/>
  <c r="I164" i="39" s="1"/>
  <c r="J164" i="39" s="1"/>
  <c r="N163" i="39"/>
  <c r="L163" i="39"/>
  <c r="G163" i="39"/>
  <c r="H163" i="39" s="1"/>
  <c r="I163" i="39" s="1"/>
  <c r="J163" i="39" s="1"/>
  <c r="L162" i="39"/>
  <c r="G162" i="39"/>
  <c r="H162" i="39" s="1"/>
  <c r="I162" i="39" s="1"/>
  <c r="J162" i="39" s="1"/>
  <c r="N161" i="39"/>
  <c r="L161" i="39"/>
  <c r="G161" i="39"/>
  <c r="H161" i="39" s="1"/>
  <c r="I161" i="39" s="1"/>
  <c r="J161" i="39" s="1"/>
  <c r="N160" i="39"/>
  <c r="L160" i="39"/>
  <c r="G160" i="39"/>
  <c r="H160" i="39" s="1"/>
  <c r="I160" i="39" s="1"/>
  <c r="J160" i="39" s="1"/>
  <c r="N159" i="39"/>
  <c r="L159" i="39"/>
  <c r="G159" i="39"/>
  <c r="H159" i="39" s="1"/>
  <c r="I159" i="39" s="1"/>
  <c r="J159" i="39" s="1"/>
  <c r="N158" i="39"/>
  <c r="L158" i="39"/>
  <c r="G158" i="39"/>
  <c r="H158" i="39" s="1"/>
  <c r="I158" i="39" s="1"/>
  <c r="J158" i="39" s="1"/>
  <c r="N157" i="39"/>
  <c r="L157" i="39"/>
  <c r="G157" i="39"/>
  <c r="H157" i="39" s="1"/>
  <c r="I157" i="39" s="1"/>
  <c r="J157" i="39" s="1"/>
  <c r="N156" i="39"/>
  <c r="L156" i="39"/>
  <c r="G156" i="39"/>
  <c r="H156" i="39" s="1"/>
  <c r="I156" i="39" s="1"/>
  <c r="J156" i="39" s="1"/>
  <c r="N155" i="39"/>
  <c r="L155" i="39"/>
  <c r="G155" i="39"/>
  <c r="H155" i="39" s="1"/>
  <c r="I155" i="39" s="1"/>
  <c r="J155" i="39" s="1"/>
  <c r="N154" i="39"/>
  <c r="L154" i="39"/>
  <c r="G154" i="39"/>
  <c r="H154" i="39" s="1"/>
  <c r="I154" i="39" s="1"/>
  <c r="J154" i="39" s="1"/>
  <c r="N153" i="39"/>
  <c r="L153" i="39"/>
  <c r="G153" i="39"/>
  <c r="H153" i="39" s="1"/>
  <c r="I153" i="39" s="1"/>
  <c r="J153" i="39" s="1"/>
  <c r="N152" i="39"/>
  <c r="L152" i="39"/>
  <c r="G152" i="39"/>
  <c r="H152" i="39" s="1"/>
  <c r="I152" i="39" s="1"/>
  <c r="J152" i="39" s="1"/>
  <c r="N151" i="39"/>
  <c r="L151" i="39"/>
  <c r="G151" i="39"/>
  <c r="H151" i="39" s="1"/>
  <c r="I151" i="39" s="1"/>
  <c r="J151" i="39" s="1"/>
  <c r="N150" i="39"/>
  <c r="L150" i="39"/>
  <c r="G150" i="39"/>
  <c r="H150" i="39" s="1"/>
  <c r="I150" i="39" s="1"/>
  <c r="J150" i="39" s="1"/>
  <c r="N149" i="39"/>
  <c r="L149" i="39"/>
  <c r="G149" i="39"/>
  <c r="H149" i="39" s="1"/>
  <c r="I149" i="39" s="1"/>
  <c r="J149" i="39" s="1"/>
  <c r="N148" i="39"/>
  <c r="L148" i="39"/>
  <c r="G148" i="39"/>
  <c r="H148" i="39" s="1"/>
  <c r="I148" i="39" s="1"/>
  <c r="J148" i="39" s="1"/>
  <c r="N147" i="39"/>
  <c r="L147" i="39"/>
  <c r="G147" i="39"/>
  <c r="H147" i="39" s="1"/>
  <c r="I147" i="39" s="1"/>
  <c r="J147" i="39" s="1"/>
  <c r="N146" i="39"/>
  <c r="L146" i="39"/>
  <c r="G146" i="39"/>
  <c r="H146" i="39" s="1"/>
  <c r="I146" i="39" s="1"/>
  <c r="J146" i="39" s="1"/>
  <c r="N145" i="39"/>
  <c r="L145" i="39"/>
  <c r="G145" i="39"/>
  <c r="H145" i="39" s="1"/>
  <c r="I145" i="39" s="1"/>
  <c r="J145" i="39" s="1"/>
  <c r="N144" i="39"/>
  <c r="L144" i="39"/>
  <c r="G144" i="39"/>
  <c r="H144" i="39" s="1"/>
  <c r="I144" i="39" s="1"/>
  <c r="J144" i="39" s="1"/>
  <c r="N143" i="39"/>
  <c r="L143" i="39"/>
  <c r="G143" i="39"/>
  <c r="H143" i="39" s="1"/>
  <c r="I143" i="39" s="1"/>
  <c r="J143" i="39" s="1"/>
  <c r="N142" i="39"/>
  <c r="L142" i="39"/>
  <c r="G142" i="39"/>
  <c r="H142" i="39" s="1"/>
  <c r="I142" i="39" s="1"/>
  <c r="J142" i="39" s="1"/>
  <c r="N141" i="39"/>
  <c r="L141" i="39"/>
  <c r="G141" i="39"/>
  <c r="H141" i="39" s="1"/>
  <c r="I141" i="39" s="1"/>
  <c r="J141" i="39" s="1"/>
  <c r="N140" i="39"/>
  <c r="L140" i="39"/>
  <c r="G140" i="39"/>
  <c r="H140" i="39" s="1"/>
  <c r="I140" i="39" s="1"/>
  <c r="J140" i="39" s="1"/>
  <c r="N139" i="39"/>
  <c r="L139" i="39"/>
  <c r="G139" i="39"/>
  <c r="H139" i="39" s="1"/>
  <c r="I139" i="39" s="1"/>
  <c r="J139" i="39" s="1"/>
  <c r="N138" i="39"/>
  <c r="L138" i="39"/>
  <c r="G138" i="39"/>
  <c r="H138" i="39" s="1"/>
  <c r="I138" i="39" s="1"/>
  <c r="J138" i="39" s="1"/>
  <c r="N137" i="39"/>
  <c r="L137" i="39"/>
  <c r="G137" i="39"/>
  <c r="H137" i="39" s="1"/>
  <c r="I137" i="39" s="1"/>
  <c r="J137" i="39" s="1"/>
  <c r="N136" i="39"/>
  <c r="L136" i="39"/>
  <c r="G136" i="39"/>
  <c r="H136" i="39" s="1"/>
  <c r="I136" i="39" s="1"/>
  <c r="J136" i="39" s="1"/>
  <c r="N135" i="39"/>
  <c r="L135" i="39"/>
  <c r="G135" i="39"/>
  <c r="H135" i="39" s="1"/>
  <c r="I135" i="39" s="1"/>
  <c r="J135" i="39" s="1"/>
  <c r="N134" i="39"/>
  <c r="L134" i="39"/>
  <c r="G134" i="39"/>
  <c r="H134" i="39" s="1"/>
  <c r="I134" i="39" s="1"/>
  <c r="J134" i="39" s="1"/>
  <c r="N133" i="39"/>
  <c r="L133" i="39"/>
  <c r="G133" i="39"/>
  <c r="H133" i="39" s="1"/>
  <c r="I133" i="39" s="1"/>
  <c r="J133" i="39" s="1"/>
  <c r="N132" i="39"/>
  <c r="L132" i="39"/>
  <c r="G132" i="39"/>
  <c r="H132" i="39" s="1"/>
  <c r="I132" i="39" s="1"/>
  <c r="J132" i="39" s="1"/>
  <c r="N131" i="39"/>
  <c r="L131" i="39"/>
  <c r="G131" i="39"/>
  <c r="H131" i="39" s="1"/>
  <c r="I131" i="39" s="1"/>
  <c r="J131" i="39" s="1"/>
  <c r="N130" i="39"/>
  <c r="L130" i="39"/>
  <c r="G130" i="39"/>
  <c r="H130" i="39" s="1"/>
  <c r="I130" i="39" s="1"/>
  <c r="J130" i="39" s="1"/>
  <c r="N129" i="39"/>
  <c r="L129" i="39"/>
  <c r="G129" i="39"/>
  <c r="H129" i="39" s="1"/>
  <c r="I129" i="39" s="1"/>
  <c r="J129" i="39" s="1"/>
  <c r="N128" i="39"/>
  <c r="L128" i="39"/>
  <c r="G128" i="39"/>
  <c r="H128" i="39" s="1"/>
  <c r="I128" i="39" s="1"/>
  <c r="J128" i="39" s="1"/>
  <c r="N127" i="39"/>
  <c r="L127" i="39"/>
  <c r="G127" i="39"/>
  <c r="H127" i="39" s="1"/>
  <c r="I127" i="39" s="1"/>
  <c r="J127" i="39" s="1"/>
  <c r="N126" i="39"/>
  <c r="L126" i="39"/>
  <c r="G126" i="39"/>
  <c r="H126" i="39" s="1"/>
  <c r="I126" i="39" s="1"/>
  <c r="J126" i="39" s="1"/>
  <c r="N125" i="39"/>
  <c r="L125" i="39"/>
  <c r="G125" i="39"/>
  <c r="H125" i="39" s="1"/>
  <c r="I125" i="39" s="1"/>
  <c r="J125" i="39" s="1"/>
  <c r="N124" i="39"/>
  <c r="L124" i="39"/>
  <c r="G124" i="39"/>
  <c r="H124" i="39" s="1"/>
  <c r="I124" i="39" s="1"/>
  <c r="J124" i="39" s="1"/>
  <c r="N123" i="39"/>
  <c r="L123" i="39"/>
  <c r="G123" i="39"/>
  <c r="H123" i="39" s="1"/>
  <c r="I123" i="39" s="1"/>
  <c r="J123" i="39" s="1"/>
  <c r="N122" i="39"/>
  <c r="L122" i="39"/>
  <c r="G122" i="39"/>
  <c r="H122" i="39" s="1"/>
  <c r="I122" i="39" s="1"/>
  <c r="J122" i="39" s="1"/>
  <c r="N121" i="39"/>
  <c r="L121" i="39"/>
  <c r="G121" i="39"/>
  <c r="H121" i="39" s="1"/>
  <c r="I121" i="39" s="1"/>
  <c r="J121" i="39" s="1"/>
  <c r="N120" i="39"/>
  <c r="L120" i="39"/>
  <c r="G120" i="39"/>
  <c r="H120" i="39" s="1"/>
  <c r="I120" i="39" s="1"/>
  <c r="J120" i="39" s="1"/>
  <c r="N119" i="39"/>
  <c r="L119" i="39"/>
  <c r="G119" i="39"/>
  <c r="H119" i="39" s="1"/>
  <c r="I119" i="39" s="1"/>
  <c r="J119" i="39" s="1"/>
  <c r="N118" i="39"/>
  <c r="L118" i="39"/>
  <c r="G118" i="39"/>
  <c r="H118" i="39" s="1"/>
  <c r="I118" i="39" s="1"/>
  <c r="J118" i="39" s="1"/>
  <c r="N117" i="39"/>
  <c r="L117" i="39"/>
  <c r="G117" i="39"/>
  <c r="H117" i="39" s="1"/>
  <c r="I117" i="39" s="1"/>
  <c r="J117" i="39" s="1"/>
  <c r="N116" i="39"/>
  <c r="L116" i="39"/>
  <c r="G116" i="39"/>
  <c r="H116" i="39" s="1"/>
  <c r="I116" i="39" s="1"/>
  <c r="J116" i="39" s="1"/>
  <c r="N115" i="39"/>
  <c r="L115" i="39"/>
  <c r="G115" i="39"/>
  <c r="H115" i="39" s="1"/>
  <c r="I115" i="39" s="1"/>
  <c r="J115" i="39" s="1"/>
  <c r="N114" i="39"/>
  <c r="L114" i="39"/>
  <c r="G114" i="39"/>
  <c r="H114" i="39" s="1"/>
  <c r="I114" i="39" s="1"/>
  <c r="J114" i="39" s="1"/>
  <c r="N113" i="39"/>
  <c r="L113" i="39"/>
  <c r="G113" i="39"/>
  <c r="H113" i="39" s="1"/>
  <c r="I113" i="39" s="1"/>
  <c r="J113" i="39" s="1"/>
  <c r="N112" i="39"/>
  <c r="L112" i="39"/>
  <c r="G112" i="39"/>
  <c r="H112" i="39" s="1"/>
  <c r="I112" i="39" s="1"/>
  <c r="J112" i="39" s="1"/>
  <c r="N111" i="39"/>
  <c r="L111" i="39"/>
  <c r="G111" i="39"/>
  <c r="H111" i="39" s="1"/>
  <c r="I111" i="39" s="1"/>
  <c r="J111" i="39" s="1"/>
  <c r="N110" i="39"/>
  <c r="L110" i="39"/>
  <c r="G110" i="39"/>
  <c r="H110" i="39" s="1"/>
  <c r="I110" i="39" s="1"/>
  <c r="J110" i="39" s="1"/>
  <c r="N109" i="39"/>
  <c r="L109" i="39"/>
  <c r="G109" i="39"/>
  <c r="H109" i="39" s="1"/>
  <c r="I109" i="39" s="1"/>
  <c r="J109" i="39" s="1"/>
  <c r="N108" i="39"/>
  <c r="L108" i="39"/>
  <c r="G108" i="39"/>
  <c r="H108" i="39" s="1"/>
  <c r="I108" i="39" s="1"/>
  <c r="J108" i="39" s="1"/>
  <c r="N107" i="39"/>
  <c r="L107" i="39"/>
  <c r="G107" i="39"/>
  <c r="H107" i="39" s="1"/>
  <c r="I107" i="39" s="1"/>
  <c r="J107" i="39" s="1"/>
  <c r="N106" i="39"/>
  <c r="L106" i="39"/>
  <c r="G106" i="39"/>
  <c r="H106" i="39" s="1"/>
  <c r="I106" i="39" s="1"/>
  <c r="J106" i="39" s="1"/>
  <c r="N105" i="39"/>
  <c r="L105" i="39"/>
  <c r="G105" i="39"/>
  <c r="H105" i="39" s="1"/>
  <c r="I105" i="39" s="1"/>
  <c r="J105" i="39" s="1"/>
  <c r="N104" i="39"/>
  <c r="L104" i="39"/>
  <c r="G104" i="39"/>
  <c r="H104" i="39" s="1"/>
  <c r="I104" i="39" s="1"/>
  <c r="J104" i="39" s="1"/>
  <c r="N103" i="39"/>
  <c r="L103" i="39"/>
  <c r="G103" i="39"/>
  <c r="H103" i="39" s="1"/>
  <c r="I103" i="39" s="1"/>
  <c r="J103" i="39" s="1"/>
  <c r="N102" i="39"/>
  <c r="L102" i="39"/>
  <c r="G102" i="39"/>
  <c r="H102" i="39" s="1"/>
  <c r="I102" i="39" s="1"/>
  <c r="J102" i="39" s="1"/>
  <c r="N101" i="39"/>
  <c r="L101" i="39"/>
  <c r="G101" i="39"/>
  <c r="H101" i="39" s="1"/>
  <c r="I101" i="39" s="1"/>
  <c r="J101" i="39" s="1"/>
  <c r="N100" i="39"/>
  <c r="L100" i="39"/>
  <c r="G100" i="39"/>
  <c r="H100" i="39" s="1"/>
  <c r="I100" i="39" s="1"/>
  <c r="J100" i="39" s="1"/>
  <c r="N99" i="39"/>
  <c r="L99" i="39"/>
  <c r="G99" i="39"/>
  <c r="H99" i="39" s="1"/>
  <c r="I99" i="39" s="1"/>
  <c r="J99" i="39" s="1"/>
  <c r="N98" i="39"/>
  <c r="L98" i="39"/>
  <c r="G98" i="39"/>
  <c r="H98" i="39" s="1"/>
  <c r="I98" i="39" s="1"/>
  <c r="J98" i="39" s="1"/>
  <c r="N97" i="39"/>
  <c r="L97" i="39"/>
  <c r="G97" i="39"/>
  <c r="H97" i="39" s="1"/>
  <c r="I97" i="39" s="1"/>
  <c r="J97" i="39" s="1"/>
  <c r="N96" i="39"/>
  <c r="L96" i="39"/>
  <c r="G96" i="39"/>
  <c r="H96" i="39" s="1"/>
  <c r="I96" i="39" s="1"/>
  <c r="J96" i="39" s="1"/>
  <c r="N95" i="39"/>
  <c r="L95" i="39"/>
  <c r="G95" i="39"/>
  <c r="H95" i="39" s="1"/>
  <c r="I95" i="39" s="1"/>
  <c r="J95" i="39" s="1"/>
  <c r="N94" i="39"/>
  <c r="L94" i="39"/>
  <c r="G94" i="39"/>
  <c r="H94" i="39" s="1"/>
  <c r="I94" i="39" s="1"/>
  <c r="J94" i="39" s="1"/>
  <c r="N93" i="39"/>
  <c r="L93" i="39"/>
  <c r="G93" i="39"/>
  <c r="H93" i="39" s="1"/>
  <c r="I93" i="39" s="1"/>
  <c r="J93" i="39" s="1"/>
  <c r="N92" i="39"/>
  <c r="L92" i="39"/>
  <c r="G92" i="39"/>
  <c r="H92" i="39" s="1"/>
  <c r="I92" i="39" s="1"/>
  <c r="J92" i="39" s="1"/>
  <c r="N91" i="39"/>
  <c r="L91" i="39"/>
  <c r="G91" i="39"/>
  <c r="H91" i="39" s="1"/>
  <c r="I91" i="39" s="1"/>
  <c r="J91" i="39" s="1"/>
  <c r="N90" i="39"/>
  <c r="L90" i="39"/>
  <c r="G90" i="39"/>
  <c r="H90" i="39" s="1"/>
  <c r="I90" i="39" s="1"/>
  <c r="J90" i="39" s="1"/>
  <c r="N89" i="39"/>
  <c r="L89" i="39"/>
  <c r="G89" i="39"/>
  <c r="H89" i="39" s="1"/>
  <c r="I89" i="39" s="1"/>
  <c r="J89" i="39" s="1"/>
  <c r="N88" i="39"/>
  <c r="L88" i="39"/>
  <c r="G88" i="39"/>
  <c r="H88" i="39" s="1"/>
  <c r="I88" i="39" s="1"/>
  <c r="J88" i="39" s="1"/>
  <c r="N87" i="39"/>
  <c r="L87" i="39"/>
  <c r="G87" i="39"/>
  <c r="H87" i="39" s="1"/>
  <c r="I87" i="39" s="1"/>
  <c r="J87" i="39" s="1"/>
  <c r="N86" i="39"/>
  <c r="L86" i="39"/>
  <c r="G86" i="39"/>
  <c r="H86" i="39" s="1"/>
  <c r="I86" i="39" s="1"/>
  <c r="J86" i="39" s="1"/>
  <c r="N85" i="39"/>
  <c r="L85" i="39"/>
  <c r="G85" i="39"/>
  <c r="H85" i="39" s="1"/>
  <c r="I85" i="39" s="1"/>
  <c r="J85" i="39" s="1"/>
  <c r="N84" i="39"/>
  <c r="L84" i="39"/>
  <c r="G84" i="39"/>
  <c r="H84" i="39" s="1"/>
  <c r="I84" i="39" s="1"/>
  <c r="J84" i="39" s="1"/>
  <c r="N83" i="39"/>
  <c r="L83" i="39"/>
  <c r="G83" i="39"/>
  <c r="H83" i="39" s="1"/>
  <c r="I83" i="39" s="1"/>
  <c r="J83" i="39" s="1"/>
  <c r="N82" i="39"/>
  <c r="L82" i="39"/>
  <c r="G82" i="39"/>
  <c r="H82" i="39" s="1"/>
  <c r="I82" i="39" s="1"/>
  <c r="J82" i="39" s="1"/>
  <c r="N81" i="39"/>
  <c r="L81" i="39"/>
  <c r="G81" i="39"/>
  <c r="H81" i="39" s="1"/>
  <c r="I81" i="39" s="1"/>
  <c r="J81" i="39" s="1"/>
  <c r="N80" i="39"/>
  <c r="L80" i="39"/>
  <c r="G80" i="39"/>
  <c r="H80" i="39" s="1"/>
  <c r="I80" i="39" s="1"/>
  <c r="J80" i="39" s="1"/>
  <c r="N79" i="39"/>
  <c r="L79" i="39"/>
  <c r="G79" i="39"/>
  <c r="H79" i="39" s="1"/>
  <c r="I79" i="39" s="1"/>
  <c r="J79" i="39" s="1"/>
  <c r="N78" i="39"/>
  <c r="L78" i="39"/>
  <c r="G78" i="39"/>
  <c r="H78" i="39" s="1"/>
  <c r="I78" i="39" s="1"/>
  <c r="J78" i="39" s="1"/>
  <c r="N77" i="39"/>
  <c r="L77" i="39"/>
  <c r="G77" i="39"/>
  <c r="H77" i="39" s="1"/>
  <c r="I77" i="39" s="1"/>
  <c r="J77" i="39" s="1"/>
  <c r="N76" i="39"/>
  <c r="L76" i="39"/>
  <c r="G76" i="39"/>
  <c r="H76" i="39" s="1"/>
  <c r="I76" i="39" s="1"/>
  <c r="J76" i="39" s="1"/>
  <c r="N75" i="39"/>
  <c r="L75" i="39"/>
  <c r="G75" i="39"/>
  <c r="H75" i="39" s="1"/>
  <c r="I75" i="39" s="1"/>
  <c r="J75" i="39" s="1"/>
  <c r="N74" i="39"/>
  <c r="L74" i="39"/>
  <c r="G74" i="39"/>
  <c r="H74" i="39" s="1"/>
  <c r="I74" i="39" s="1"/>
  <c r="J74" i="39" s="1"/>
  <c r="N73" i="39"/>
  <c r="L73" i="39"/>
  <c r="G73" i="39"/>
  <c r="H73" i="39" s="1"/>
  <c r="I73" i="39" s="1"/>
  <c r="J73" i="39" s="1"/>
  <c r="N72" i="39"/>
  <c r="L72" i="39"/>
  <c r="G72" i="39"/>
  <c r="H72" i="39" s="1"/>
  <c r="I72" i="39" s="1"/>
  <c r="J72" i="39" s="1"/>
  <c r="N71" i="39"/>
  <c r="L71" i="39"/>
  <c r="G71" i="39"/>
  <c r="H71" i="39" s="1"/>
  <c r="I71" i="39" s="1"/>
  <c r="J71" i="39" s="1"/>
  <c r="N70" i="39"/>
  <c r="L70" i="39"/>
  <c r="G70" i="39"/>
  <c r="H70" i="39" s="1"/>
  <c r="I70" i="39" s="1"/>
  <c r="J70" i="39" s="1"/>
  <c r="N69" i="39"/>
  <c r="L69" i="39"/>
  <c r="G69" i="39"/>
  <c r="H69" i="39" s="1"/>
  <c r="I69" i="39" s="1"/>
  <c r="J69" i="39" s="1"/>
  <c r="N68" i="39"/>
  <c r="L68" i="39"/>
  <c r="G68" i="39"/>
  <c r="H68" i="39" s="1"/>
  <c r="I68" i="39" s="1"/>
  <c r="J68" i="39" s="1"/>
  <c r="N67" i="39"/>
  <c r="L67" i="39"/>
  <c r="G67" i="39"/>
  <c r="H67" i="39" s="1"/>
  <c r="I67" i="39" s="1"/>
  <c r="J67" i="39" s="1"/>
  <c r="N66" i="39"/>
  <c r="L66" i="39"/>
  <c r="G66" i="39"/>
  <c r="H66" i="39" s="1"/>
  <c r="I66" i="39" s="1"/>
  <c r="J66" i="39" s="1"/>
  <c r="N65" i="39"/>
  <c r="L65" i="39"/>
  <c r="G65" i="39"/>
  <c r="H65" i="39" s="1"/>
  <c r="I65" i="39" s="1"/>
  <c r="J65" i="39" s="1"/>
  <c r="N64" i="39"/>
  <c r="L64" i="39"/>
  <c r="G64" i="39"/>
  <c r="H64" i="39" s="1"/>
  <c r="I64" i="39" s="1"/>
  <c r="J64" i="39" s="1"/>
  <c r="N63" i="39"/>
  <c r="L63" i="39"/>
  <c r="G63" i="39"/>
  <c r="H63" i="39" s="1"/>
  <c r="I63" i="39" s="1"/>
  <c r="J63" i="39" s="1"/>
  <c r="N62" i="39"/>
  <c r="L62" i="39"/>
  <c r="G62" i="39"/>
  <c r="H62" i="39" s="1"/>
  <c r="I62" i="39" s="1"/>
  <c r="J62" i="39" s="1"/>
  <c r="N61" i="39"/>
  <c r="L61" i="39"/>
  <c r="G61" i="39"/>
  <c r="H61" i="39" s="1"/>
  <c r="I61" i="39" s="1"/>
  <c r="J61" i="39" s="1"/>
  <c r="N60" i="39"/>
  <c r="L60" i="39"/>
  <c r="G60" i="39"/>
  <c r="H60" i="39" s="1"/>
  <c r="I60" i="39" s="1"/>
  <c r="J60" i="39" s="1"/>
  <c r="N59" i="39"/>
  <c r="L59" i="39"/>
  <c r="G59" i="39"/>
  <c r="H59" i="39" s="1"/>
  <c r="I59" i="39" s="1"/>
  <c r="J59" i="39" s="1"/>
  <c r="N58" i="39"/>
  <c r="L58" i="39"/>
  <c r="G58" i="39"/>
  <c r="H58" i="39" s="1"/>
  <c r="I58" i="39" s="1"/>
  <c r="J58" i="39" s="1"/>
  <c r="N57" i="39"/>
  <c r="L57" i="39"/>
  <c r="G57" i="39"/>
  <c r="H57" i="39" s="1"/>
  <c r="I57" i="39" s="1"/>
  <c r="J57" i="39" s="1"/>
  <c r="N56" i="39"/>
  <c r="L56" i="39"/>
  <c r="G56" i="39"/>
  <c r="H56" i="39" s="1"/>
  <c r="I56" i="39" s="1"/>
  <c r="J56" i="39" s="1"/>
  <c r="N55" i="39"/>
  <c r="L55" i="39"/>
  <c r="G55" i="39"/>
  <c r="H55" i="39" s="1"/>
  <c r="I55" i="39" s="1"/>
  <c r="J55" i="39" s="1"/>
  <c r="N54" i="39"/>
  <c r="L54" i="39"/>
  <c r="G54" i="39"/>
  <c r="H54" i="39" s="1"/>
  <c r="I54" i="39" s="1"/>
  <c r="J54" i="39" s="1"/>
  <c r="N53" i="39"/>
  <c r="L53" i="39"/>
  <c r="G53" i="39"/>
  <c r="H53" i="39" s="1"/>
  <c r="I53" i="39" s="1"/>
  <c r="J53" i="39" s="1"/>
  <c r="N52" i="39"/>
  <c r="L52" i="39"/>
  <c r="G52" i="39"/>
  <c r="H52" i="39" s="1"/>
  <c r="I52" i="39" s="1"/>
  <c r="J52" i="39" s="1"/>
  <c r="N51" i="39"/>
  <c r="L51" i="39"/>
  <c r="G51" i="39"/>
  <c r="H51" i="39" s="1"/>
  <c r="I51" i="39" s="1"/>
  <c r="J51" i="39" s="1"/>
  <c r="N50" i="39"/>
  <c r="L50" i="39"/>
  <c r="G50" i="39"/>
  <c r="H50" i="39" s="1"/>
  <c r="I50" i="39" s="1"/>
  <c r="J50" i="39" s="1"/>
  <c r="N49" i="39"/>
  <c r="L49" i="39"/>
  <c r="G49" i="39"/>
  <c r="H49" i="39" s="1"/>
  <c r="I49" i="39" s="1"/>
  <c r="J49" i="39" s="1"/>
  <c r="N48" i="39"/>
  <c r="L48" i="39"/>
  <c r="G48" i="39"/>
  <c r="H48" i="39" s="1"/>
  <c r="I48" i="39" s="1"/>
  <c r="J48" i="39" s="1"/>
  <c r="N47" i="39"/>
  <c r="L47" i="39"/>
  <c r="G47" i="39"/>
  <c r="H47" i="39" s="1"/>
  <c r="I47" i="39" s="1"/>
  <c r="J47" i="39" s="1"/>
  <c r="N46" i="39"/>
  <c r="L46" i="39"/>
  <c r="G46" i="39"/>
  <c r="H46" i="39" s="1"/>
  <c r="I46" i="39" s="1"/>
  <c r="J46" i="39" s="1"/>
  <c r="N45" i="39"/>
  <c r="L45" i="39"/>
  <c r="G45" i="39"/>
  <c r="H45" i="39" s="1"/>
  <c r="I45" i="39" s="1"/>
  <c r="J45" i="39" s="1"/>
  <c r="N44" i="39"/>
  <c r="L44" i="39"/>
  <c r="G44" i="39"/>
  <c r="H44" i="39" s="1"/>
  <c r="I44" i="39" s="1"/>
  <c r="J44" i="39" s="1"/>
  <c r="N43" i="39"/>
  <c r="L43" i="39"/>
  <c r="G43" i="39"/>
  <c r="H43" i="39" s="1"/>
  <c r="I43" i="39" s="1"/>
  <c r="J43" i="39" s="1"/>
  <c r="N42" i="39"/>
  <c r="L42" i="39"/>
  <c r="G42" i="39"/>
  <c r="H42" i="39" s="1"/>
  <c r="I42" i="39" s="1"/>
  <c r="J42" i="39" s="1"/>
  <c r="R41" i="39"/>
  <c r="Q41" i="39" s="1"/>
  <c r="N41" i="39"/>
  <c r="L41" i="39"/>
  <c r="G41" i="39"/>
  <c r="H41" i="39" s="1"/>
  <c r="I41" i="39" s="1"/>
  <c r="J41" i="39" s="1"/>
  <c r="R40" i="39"/>
  <c r="Q40" i="39" s="1"/>
  <c r="N40" i="39"/>
  <c r="L40" i="39"/>
  <c r="G40" i="39"/>
  <c r="H40" i="39" s="1"/>
  <c r="I40" i="39" s="1"/>
  <c r="J40" i="39" s="1"/>
  <c r="R39" i="39"/>
  <c r="Q39" i="39" s="1"/>
  <c r="N39" i="39"/>
  <c r="L39" i="39"/>
  <c r="G39" i="39"/>
  <c r="H39" i="39" s="1"/>
  <c r="I39" i="39" s="1"/>
  <c r="J39" i="39" s="1"/>
  <c r="R38" i="39"/>
  <c r="Q38" i="39" s="1"/>
  <c r="N38" i="39"/>
  <c r="L38" i="39"/>
  <c r="G38" i="39"/>
  <c r="H38" i="39" s="1"/>
  <c r="I38" i="39" s="1"/>
  <c r="J38" i="39" s="1"/>
  <c r="R37" i="39"/>
  <c r="Q37" i="39" s="1"/>
  <c r="N37" i="39"/>
  <c r="L37" i="39"/>
  <c r="G37" i="39"/>
  <c r="H37" i="39" s="1"/>
  <c r="I37" i="39" s="1"/>
  <c r="J37" i="39" s="1"/>
  <c r="N36" i="39"/>
  <c r="L36" i="39"/>
  <c r="G36" i="39"/>
  <c r="H36" i="39" s="1"/>
  <c r="I36" i="39" s="1"/>
  <c r="J36" i="39" s="1"/>
  <c r="N35" i="39"/>
  <c r="L35" i="39"/>
  <c r="G35" i="39"/>
  <c r="H35" i="39" s="1"/>
  <c r="I35" i="39" s="1"/>
  <c r="J35" i="39" s="1"/>
  <c r="N34" i="39"/>
  <c r="L34" i="39"/>
  <c r="G34" i="39"/>
  <c r="H34" i="39" s="1"/>
  <c r="I34" i="39" s="1"/>
  <c r="J34" i="39" s="1"/>
  <c r="N33" i="39"/>
  <c r="L33" i="39"/>
  <c r="G33" i="39"/>
  <c r="H33" i="39" s="1"/>
  <c r="I33" i="39" s="1"/>
  <c r="J33" i="39" s="1"/>
  <c r="N32" i="39"/>
  <c r="L32" i="39"/>
  <c r="G32" i="39"/>
  <c r="H32" i="39" s="1"/>
  <c r="I32" i="39" s="1"/>
  <c r="J32" i="39" s="1"/>
  <c r="N31" i="39"/>
  <c r="L31" i="39"/>
  <c r="G31" i="39"/>
  <c r="H31" i="39" s="1"/>
  <c r="I31" i="39" s="1"/>
  <c r="J31" i="39" s="1"/>
  <c r="N30" i="39"/>
  <c r="L30" i="39"/>
  <c r="G30" i="39"/>
  <c r="H30" i="39" s="1"/>
  <c r="I30" i="39" s="1"/>
  <c r="J30" i="39" s="1"/>
  <c r="N29" i="39"/>
  <c r="L29" i="39"/>
  <c r="G29" i="39"/>
  <c r="H29" i="39" s="1"/>
  <c r="I29" i="39" s="1"/>
  <c r="C28" i="39"/>
  <c r="J6" i="40" l="1"/>
  <c r="I9" i="40"/>
  <c r="AN8" i="40"/>
  <c r="AO8" i="40" s="1"/>
  <c r="AP8" i="40" s="1"/>
  <c r="AQ8" i="40" s="1"/>
  <c r="AR8" i="40" s="1"/>
  <c r="AS8" i="40" s="1"/>
  <c r="AN7" i="40"/>
  <c r="AO7" i="40" s="1"/>
  <c r="AP7" i="40" s="1"/>
  <c r="AQ7" i="40" s="1"/>
  <c r="AR7" i="40" s="1"/>
  <c r="AS7" i="40" s="1"/>
  <c r="D6" i="41"/>
  <c r="P31" i="40"/>
  <c r="E5" i="41"/>
  <c r="P30" i="40" s="1"/>
  <c r="B6" i="41"/>
  <c r="J5" i="40"/>
  <c r="H4" i="35"/>
  <c r="E18" i="39"/>
  <c r="L28" i="39"/>
  <c r="E14" i="39"/>
  <c r="J4" i="35"/>
  <c r="E12" i="39"/>
  <c r="R36" i="39"/>
  <c r="S40" i="39" s="1"/>
  <c r="E15" i="39"/>
  <c r="E13" i="39" s="1"/>
  <c r="I28" i="39"/>
  <c r="J29" i="39"/>
  <c r="J28" i="39" s="1"/>
  <c r="K6" i="40" l="1"/>
  <c r="J9" i="40"/>
  <c r="D7" i="41"/>
  <c r="S31" i="40"/>
  <c r="F5" i="41"/>
  <c r="B7" i="41"/>
  <c r="E6" i="41"/>
  <c r="S30" i="40" s="1"/>
  <c r="K5" i="40"/>
  <c r="S41" i="39"/>
  <c r="S38" i="39"/>
  <c r="Q36" i="39"/>
  <c r="S37" i="39"/>
  <c r="S39" i="39"/>
  <c r="H28" i="39"/>
  <c r="H10" i="39" s="1"/>
  <c r="L6" i="40" l="1"/>
  <c r="K9" i="40"/>
  <c r="B8" i="41"/>
  <c r="E7" i="41"/>
  <c r="V30" i="40" s="1"/>
  <c r="D8" i="41"/>
  <c r="V31" i="40"/>
  <c r="N14" i="40"/>
  <c r="Z14" i="40" s="1"/>
  <c r="AL14" i="40" s="1"/>
  <c r="N24" i="40"/>
  <c r="Z24" i="40" s="1"/>
  <c r="AL24" i="40" s="1"/>
  <c r="K16" i="40"/>
  <c r="W16" i="40" s="1"/>
  <c r="AI16" i="40" s="1"/>
  <c r="J24" i="40"/>
  <c r="V24" i="40" s="1"/>
  <c r="AH24" i="40" s="1"/>
  <c r="M18" i="40"/>
  <c r="Y18" i="40" s="1"/>
  <c r="AK18" i="40" s="1"/>
  <c r="L15" i="40"/>
  <c r="X15" i="40" s="1"/>
  <c r="AJ15" i="40" s="1"/>
  <c r="K17" i="40"/>
  <c r="W17" i="40" s="1"/>
  <c r="AI17" i="40" s="1"/>
  <c r="O15" i="40"/>
  <c r="AA15" i="40" s="1"/>
  <c r="AM15" i="40" s="1"/>
  <c r="E13" i="40"/>
  <c r="Q13" i="40" s="1"/>
  <c r="AC13" i="40" s="1"/>
  <c r="AO13" i="40" s="1"/>
  <c r="E14" i="40"/>
  <c r="Q14" i="40" s="1"/>
  <c r="AC14" i="40" s="1"/>
  <c r="AO14" i="40" s="1"/>
  <c r="O18" i="40"/>
  <c r="AA18" i="40" s="1"/>
  <c r="AM18" i="40" s="1"/>
  <c r="O21" i="40"/>
  <c r="AA21" i="40" s="1"/>
  <c r="AM21" i="40" s="1"/>
  <c r="G18" i="40"/>
  <c r="S18" i="40" s="1"/>
  <c r="AE18" i="40" s="1"/>
  <c r="AQ18" i="40" s="1"/>
  <c r="O16" i="40"/>
  <c r="AA16" i="40" s="1"/>
  <c r="AM16" i="40" s="1"/>
  <c r="D20" i="40"/>
  <c r="P20" i="40" s="1"/>
  <c r="AB20" i="40" s="1"/>
  <c r="AN20" i="40" s="1"/>
  <c r="F23" i="40"/>
  <c r="R23" i="40" s="1"/>
  <c r="AD23" i="40" s="1"/>
  <c r="AP23" i="40" s="1"/>
  <c r="H17" i="40"/>
  <c r="T17" i="40" s="1"/>
  <c r="AF17" i="40" s="1"/>
  <c r="AR17" i="40" s="1"/>
  <c r="H14" i="40"/>
  <c r="T14" i="40" s="1"/>
  <c r="AF14" i="40" s="1"/>
  <c r="AR14" i="40" s="1"/>
  <c r="K14" i="40"/>
  <c r="W14" i="40" s="1"/>
  <c r="AI14" i="40" s="1"/>
  <c r="D21" i="40"/>
  <c r="P21" i="40" s="1"/>
  <c r="AB21" i="40" s="1"/>
  <c r="AN21" i="40" s="1"/>
  <c r="O24" i="40"/>
  <c r="AA24" i="40" s="1"/>
  <c r="AM24" i="40" s="1"/>
  <c r="D13" i="40"/>
  <c r="P13" i="40" s="1"/>
  <c r="AB13" i="40" s="1"/>
  <c r="AN13" i="40" s="1"/>
  <c r="I22" i="40"/>
  <c r="U22" i="40" s="1"/>
  <c r="AG22" i="40" s="1"/>
  <c r="AS22" i="40" s="1"/>
  <c r="H22" i="40"/>
  <c r="T22" i="40" s="1"/>
  <c r="AF22" i="40" s="1"/>
  <c r="AR22" i="40" s="1"/>
  <c r="K22" i="40"/>
  <c r="W22" i="40" s="1"/>
  <c r="AI22" i="40" s="1"/>
  <c r="N21" i="40"/>
  <c r="Z21" i="40" s="1"/>
  <c r="AL21" i="40" s="1"/>
  <c r="H18" i="40"/>
  <c r="T18" i="40" s="1"/>
  <c r="AF18" i="40" s="1"/>
  <c r="AR18" i="40" s="1"/>
  <c r="O17" i="40"/>
  <c r="AA17" i="40" s="1"/>
  <c r="AM17" i="40" s="1"/>
  <c r="I16" i="40"/>
  <c r="U16" i="40" s="1"/>
  <c r="AG16" i="40" s="1"/>
  <c r="AS16" i="40" s="1"/>
  <c r="J19" i="40"/>
  <c r="V19" i="40" s="1"/>
  <c r="AH19" i="40" s="1"/>
  <c r="M15" i="40"/>
  <c r="Y15" i="40" s="1"/>
  <c r="AK15" i="40" s="1"/>
  <c r="D17" i="40"/>
  <c r="P17" i="40" s="1"/>
  <c r="AB17" i="40" s="1"/>
  <c r="AN17" i="40" s="1"/>
  <c r="M12" i="40"/>
  <c r="D15" i="40"/>
  <c r="P15" i="40" s="1"/>
  <c r="AB15" i="40" s="1"/>
  <c r="AN15" i="40" s="1"/>
  <c r="I20" i="40"/>
  <c r="U20" i="40" s="1"/>
  <c r="AG20" i="40" s="1"/>
  <c r="AS20" i="40" s="1"/>
  <c r="F12" i="40"/>
  <c r="J22" i="40"/>
  <c r="V22" i="40" s="1"/>
  <c r="AH22" i="40" s="1"/>
  <c r="G24" i="40"/>
  <c r="S24" i="40" s="1"/>
  <c r="AE24" i="40" s="1"/>
  <c r="AQ24" i="40" s="1"/>
  <c r="N20" i="40"/>
  <c r="Z20" i="40" s="1"/>
  <c r="AL20" i="40" s="1"/>
  <c r="J12" i="40"/>
  <c r="K23" i="40"/>
  <c r="W23" i="40" s="1"/>
  <c r="AI23" i="40" s="1"/>
  <c r="O20" i="40"/>
  <c r="AA20" i="40" s="1"/>
  <c r="AM20" i="40" s="1"/>
  <c r="I17" i="40"/>
  <c r="U17" i="40" s="1"/>
  <c r="AG17" i="40" s="1"/>
  <c r="AS17" i="40" s="1"/>
  <c r="I14" i="40"/>
  <c r="U14" i="40" s="1"/>
  <c r="AG14" i="40" s="1"/>
  <c r="AS14" i="40" s="1"/>
  <c r="O12" i="40"/>
  <c r="F24" i="40"/>
  <c r="R24" i="40" s="1"/>
  <c r="AD24" i="40" s="1"/>
  <c r="AP24" i="40" s="1"/>
  <c r="O14" i="40"/>
  <c r="AA14" i="40" s="1"/>
  <c r="AM14" i="40" s="1"/>
  <c r="L21" i="40"/>
  <c r="X21" i="40" s="1"/>
  <c r="AJ21" i="40" s="1"/>
  <c r="O19" i="40"/>
  <c r="AA19" i="40" s="1"/>
  <c r="AM19" i="40" s="1"/>
  <c r="D23" i="40"/>
  <c r="P23" i="40" s="1"/>
  <c r="AB23" i="40" s="1"/>
  <c r="AN23" i="40" s="1"/>
  <c r="D24" i="40"/>
  <c r="P24" i="40" s="1"/>
  <c r="AB24" i="40" s="1"/>
  <c r="AN24" i="40" s="1"/>
  <c r="G15" i="40"/>
  <c r="S15" i="40" s="1"/>
  <c r="AE15" i="40" s="1"/>
  <c r="AQ15" i="40" s="1"/>
  <c r="L13" i="40"/>
  <c r="X13" i="40" s="1"/>
  <c r="AJ13" i="40" s="1"/>
  <c r="M24" i="40"/>
  <c r="Y24" i="40" s="1"/>
  <c r="AK24" i="40" s="1"/>
  <c r="D16" i="40"/>
  <c r="P16" i="40" s="1"/>
  <c r="AB16" i="40" s="1"/>
  <c r="AN16" i="40" s="1"/>
  <c r="G13" i="40"/>
  <c r="S13" i="40" s="1"/>
  <c r="AE13" i="40" s="1"/>
  <c r="AQ13" i="40" s="1"/>
  <c r="N17" i="40"/>
  <c r="Z17" i="40" s="1"/>
  <c r="AL17" i="40" s="1"/>
  <c r="K18" i="40"/>
  <c r="W18" i="40" s="1"/>
  <c r="AI18" i="40" s="1"/>
  <c r="H23" i="40"/>
  <c r="T23" i="40" s="1"/>
  <c r="AF23" i="40" s="1"/>
  <c r="AR23" i="40" s="1"/>
  <c r="F17" i="40"/>
  <c r="R17" i="40" s="1"/>
  <c r="AD17" i="40" s="1"/>
  <c r="AP17" i="40" s="1"/>
  <c r="N15" i="40"/>
  <c r="Z15" i="40" s="1"/>
  <c r="AL15" i="40" s="1"/>
  <c r="E19" i="40"/>
  <c r="Q19" i="40" s="1"/>
  <c r="AC19" i="40" s="1"/>
  <c r="AO19" i="40" s="1"/>
  <c r="K21" i="40"/>
  <c r="W21" i="40" s="1"/>
  <c r="AI21" i="40" s="1"/>
  <c r="L22" i="40"/>
  <c r="X22" i="40" s="1"/>
  <c r="AJ22" i="40" s="1"/>
  <c r="I13" i="40"/>
  <c r="U13" i="40" s="1"/>
  <c r="AG13" i="40" s="1"/>
  <c r="AS13" i="40" s="1"/>
  <c r="G16" i="40"/>
  <c r="S16" i="40" s="1"/>
  <c r="AE16" i="40" s="1"/>
  <c r="AQ16" i="40" s="1"/>
  <c r="E24" i="40"/>
  <c r="Q24" i="40" s="1"/>
  <c r="AC24" i="40" s="1"/>
  <c r="AO24" i="40" s="1"/>
  <c r="D22" i="40"/>
  <c r="P22" i="40" s="1"/>
  <c r="AB22" i="40" s="1"/>
  <c r="AN22" i="40" s="1"/>
  <c r="J17" i="40"/>
  <c r="V17" i="40" s="1"/>
  <c r="AH17" i="40" s="1"/>
  <c r="F19" i="40"/>
  <c r="R19" i="40" s="1"/>
  <c r="AD19" i="40" s="1"/>
  <c r="AP19" i="40" s="1"/>
  <c r="L23" i="40"/>
  <c r="X23" i="40" s="1"/>
  <c r="AJ23" i="40" s="1"/>
  <c r="L12" i="40"/>
  <c r="N23" i="40"/>
  <c r="Z23" i="40" s="1"/>
  <c r="AL23" i="40" s="1"/>
  <c r="H13" i="40"/>
  <c r="T13" i="40" s="1"/>
  <c r="AF13" i="40" s="1"/>
  <c r="AR13" i="40" s="1"/>
  <c r="O23" i="40"/>
  <c r="AA23" i="40" s="1"/>
  <c r="AM23" i="40" s="1"/>
  <c r="I21" i="40"/>
  <c r="U21" i="40" s="1"/>
  <c r="AG21" i="40" s="1"/>
  <c r="AS21" i="40" s="1"/>
  <c r="M16" i="40"/>
  <c r="Y16" i="40" s="1"/>
  <c r="AK16" i="40" s="1"/>
  <c r="F16" i="40"/>
  <c r="R16" i="40" s="1"/>
  <c r="AD16" i="40" s="1"/>
  <c r="AP16" i="40" s="1"/>
  <c r="M17" i="40"/>
  <c r="Y17" i="40" s="1"/>
  <c r="AK17" i="40" s="1"/>
  <c r="F18" i="40"/>
  <c r="R18" i="40" s="1"/>
  <c r="AD18" i="40" s="1"/>
  <c r="AP18" i="40" s="1"/>
  <c r="L24" i="40"/>
  <c r="X24" i="40" s="1"/>
  <c r="AJ24" i="40" s="1"/>
  <c r="E21" i="40"/>
  <c r="Q21" i="40" s="1"/>
  <c r="AC21" i="40" s="1"/>
  <c r="AO21" i="40" s="1"/>
  <c r="M13" i="40"/>
  <c r="Y13" i="40" s="1"/>
  <c r="AK13" i="40" s="1"/>
  <c r="E18" i="40"/>
  <c r="Q18" i="40" s="1"/>
  <c r="AC18" i="40" s="1"/>
  <c r="AO18" i="40" s="1"/>
  <c r="J14" i="40"/>
  <c r="V14" i="40" s="1"/>
  <c r="AH14" i="40" s="1"/>
  <c r="N13" i="40"/>
  <c r="Z13" i="40" s="1"/>
  <c r="AL13" i="40" s="1"/>
  <c r="I23" i="40"/>
  <c r="U23" i="40" s="1"/>
  <c r="AG23" i="40" s="1"/>
  <c r="AS23" i="40" s="1"/>
  <c r="K15" i="40"/>
  <c r="W15" i="40" s="1"/>
  <c r="AI15" i="40" s="1"/>
  <c r="L17" i="40"/>
  <c r="X17" i="40" s="1"/>
  <c r="AJ17" i="40" s="1"/>
  <c r="D18" i="40"/>
  <c r="P18" i="40" s="1"/>
  <c r="AB18" i="40" s="1"/>
  <c r="AN18" i="40" s="1"/>
  <c r="M23" i="40"/>
  <c r="Y23" i="40" s="1"/>
  <c r="AK23" i="40" s="1"/>
  <c r="H19" i="40"/>
  <c r="T19" i="40" s="1"/>
  <c r="AF19" i="40" s="1"/>
  <c r="AR19" i="40" s="1"/>
  <c r="G22" i="40"/>
  <c r="S22" i="40" s="1"/>
  <c r="AE22" i="40" s="1"/>
  <c r="AQ22" i="40" s="1"/>
  <c r="G20" i="40"/>
  <c r="S20" i="40" s="1"/>
  <c r="AE20" i="40" s="1"/>
  <c r="AQ20" i="40" s="1"/>
  <c r="J21" i="40"/>
  <c r="V21" i="40" s="1"/>
  <c r="AH21" i="40" s="1"/>
  <c r="G21" i="40"/>
  <c r="S21" i="40" s="1"/>
  <c r="AE21" i="40" s="1"/>
  <c r="AQ21" i="40" s="1"/>
  <c r="E15" i="40"/>
  <c r="Q15" i="40" s="1"/>
  <c r="AC15" i="40" s="1"/>
  <c r="AO15" i="40" s="1"/>
  <c r="H16" i="40"/>
  <c r="T16" i="40" s="1"/>
  <c r="AF16" i="40" s="1"/>
  <c r="AR16" i="40" s="1"/>
  <c r="F13" i="40"/>
  <c r="R13" i="40" s="1"/>
  <c r="AD13" i="40" s="1"/>
  <c r="AP13" i="40" s="1"/>
  <c r="N18" i="40"/>
  <c r="Z18" i="40" s="1"/>
  <c r="AL18" i="40" s="1"/>
  <c r="L19" i="40"/>
  <c r="X19" i="40" s="1"/>
  <c r="AJ19" i="40" s="1"/>
  <c r="G14" i="40"/>
  <c r="S14" i="40" s="1"/>
  <c r="AE14" i="40" s="1"/>
  <c r="AQ14" i="40" s="1"/>
  <c r="L14" i="40"/>
  <c r="X14" i="40" s="1"/>
  <c r="AJ14" i="40" s="1"/>
  <c r="I19" i="40"/>
  <c r="U19" i="40" s="1"/>
  <c r="AG19" i="40" s="1"/>
  <c r="AS19" i="40" s="1"/>
  <c r="H21" i="40"/>
  <c r="T21" i="40" s="1"/>
  <c r="AF21" i="40" s="1"/>
  <c r="AR21" i="40" s="1"/>
  <c r="D19" i="40"/>
  <c r="P19" i="40" s="1"/>
  <c r="AB19" i="40" s="1"/>
  <c r="AN19" i="40" s="1"/>
  <c r="H20" i="40"/>
  <c r="T20" i="40" s="1"/>
  <c r="AF20" i="40" s="1"/>
  <c r="AR20" i="40" s="1"/>
  <c r="J23" i="40"/>
  <c r="V23" i="40" s="1"/>
  <c r="AH23" i="40" s="1"/>
  <c r="G19" i="40"/>
  <c r="S19" i="40" s="1"/>
  <c r="AE19" i="40" s="1"/>
  <c r="AQ19" i="40" s="1"/>
  <c r="N12" i="40"/>
  <c r="J20" i="40"/>
  <c r="V20" i="40" s="1"/>
  <c r="AH20" i="40" s="1"/>
  <c r="E12" i="40"/>
  <c r="I18" i="40"/>
  <c r="U18" i="40" s="1"/>
  <c r="AG18" i="40" s="1"/>
  <c r="AS18" i="40" s="1"/>
  <c r="F20" i="40"/>
  <c r="R20" i="40" s="1"/>
  <c r="AD20" i="40" s="1"/>
  <c r="AP20" i="40" s="1"/>
  <c r="H24" i="40"/>
  <c r="T24" i="40" s="1"/>
  <c r="AF24" i="40" s="1"/>
  <c r="AR24" i="40" s="1"/>
  <c r="N19" i="40"/>
  <c r="Z19" i="40" s="1"/>
  <c r="AL19" i="40" s="1"/>
  <c r="E22" i="40"/>
  <c r="Q22" i="40" s="1"/>
  <c r="AC22" i="40" s="1"/>
  <c r="AO22" i="40" s="1"/>
  <c r="I12" i="40"/>
  <c r="K20" i="40"/>
  <c r="W20" i="40" s="1"/>
  <c r="AI20" i="40" s="1"/>
  <c r="F15" i="40"/>
  <c r="R15" i="40" s="1"/>
  <c r="AD15" i="40" s="1"/>
  <c r="AP15" i="40" s="1"/>
  <c r="M20" i="40"/>
  <c r="Y20" i="40" s="1"/>
  <c r="AK20" i="40" s="1"/>
  <c r="D14" i="40"/>
  <c r="P14" i="40" s="1"/>
  <c r="AB14" i="40" s="1"/>
  <c r="AN14" i="40" s="1"/>
  <c r="L18" i="40"/>
  <c r="X18" i="40" s="1"/>
  <c r="AJ18" i="40" s="1"/>
  <c r="J15" i="40"/>
  <c r="V15" i="40" s="1"/>
  <c r="AH15" i="40" s="1"/>
  <c r="I15" i="40"/>
  <c r="U15" i="40" s="1"/>
  <c r="AG15" i="40" s="1"/>
  <c r="AS15" i="40" s="1"/>
  <c r="F21" i="40"/>
  <c r="R21" i="40" s="1"/>
  <c r="AD21" i="40" s="1"/>
  <c r="AP21" i="40" s="1"/>
  <c r="G23" i="40"/>
  <c r="S23" i="40" s="1"/>
  <c r="AE23" i="40" s="1"/>
  <c r="AQ23" i="40" s="1"/>
  <c r="G12" i="40"/>
  <c r="L16" i="40"/>
  <c r="X16" i="40" s="1"/>
  <c r="AJ16" i="40" s="1"/>
  <c r="N16" i="40"/>
  <c r="Z16" i="40" s="1"/>
  <c r="AL16" i="40" s="1"/>
  <c r="F22" i="40"/>
  <c r="R22" i="40" s="1"/>
  <c r="AD22" i="40" s="1"/>
  <c r="AP22" i="40" s="1"/>
  <c r="E20" i="40"/>
  <c r="Q20" i="40" s="1"/>
  <c r="AC20" i="40" s="1"/>
  <c r="AO20" i="40" s="1"/>
  <c r="K13" i="40"/>
  <c r="W13" i="40" s="1"/>
  <c r="AI13" i="40" s="1"/>
  <c r="M19" i="40"/>
  <c r="Y19" i="40" s="1"/>
  <c r="AK19" i="40" s="1"/>
  <c r="K12" i="40"/>
  <c r="L20" i="40"/>
  <c r="X20" i="40" s="1"/>
  <c r="AJ20" i="40" s="1"/>
  <c r="K24" i="40"/>
  <c r="W24" i="40" s="1"/>
  <c r="AI24" i="40" s="1"/>
  <c r="N22" i="40"/>
  <c r="Z22" i="40" s="1"/>
  <c r="AL22" i="40" s="1"/>
  <c r="I24" i="40"/>
  <c r="U24" i="40" s="1"/>
  <c r="AG24" i="40" s="1"/>
  <c r="AS24" i="40" s="1"/>
  <c r="K19" i="40"/>
  <c r="W19" i="40" s="1"/>
  <c r="AI19" i="40" s="1"/>
  <c r="M22" i="40"/>
  <c r="Y22" i="40" s="1"/>
  <c r="AK22" i="40" s="1"/>
  <c r="M14" i="40"/>
  <c r="Y14" i="40" s="1"/>
  <c r="AK14" i="40" s="1"/>
  <c r="E23" i="40"/>
  <c r="Q23" i="40" s="1"/>
  <c r="AC23" i="40" s="1"/>
  <c r="AO23" i="40" s="1"/>
  <c r="E16" i="40"/>
  <c r="Q16" i="40" s="1"/>
  <c r="AC16" i="40" s="1"/>
  <c r="AO16" i="40" s="1"/>
  <c r="O22" i="40"/>
  <c r="AA22" i="40" s="1"/>
  <c r="AM22" i="40" s="1"/>
  <c r="J13" i="40"/>
  <c r="V13" i="40" s="1"/>
  <c r="AH13" i="40" s="1"/>
  <c r="M21" i="40"/>
  <c r="Y21" i="40" s="1"/>
  <c r="AK21" i="40" s="1"/>
  <c r="J18" i="40"/>
  <c r="V18" i="40" s="1"/>
  <c r="AH18" i="40" s="1"/>
  <c r="H12" i="40"/>
  <c r="E17" i="40"/>
  <c r="Q17" i="40" s="1"/>
  <c r="AC17" i="40" s="1"/>
  <c r="AO17" i="40" s="1"/>
  <c r="J16" i="40"/>
  <c r="V16" i="40" s="1"/>
  <c r="AH16" i="40" s="1"/>
  <c r="G17" i="40"/>
  <c r="S17" i="40" s="1"/>
  <c r="AE17" i="40" s="1"/>
  <c r="AQ17" i="40" s="1"/>
  <c r="H15" i="40"/>
  <c r="T15" i="40" s="1"/>
  <c r="AF15" i="40" s="1"/>
  <c r="AR15" i="40" s="1"/>
  <c r="O13" i="40"/>
  <c r="AA13" i="40" s="1"/>
  <c r="AM13" i="40" s="1"/>
  <c r="F14" i="40"/>
  <c r="R14" i="40" s="1"/>
  <c r="AD14" i="40" s="1"/>
  <c r="AP14" i="40" s="1"/>
  <c r="L5" i="40"/>
  <c r="M5" i="40" s="1"/>
  <c r="S36" i="39"/>
  <c r="F18" i="35"/>
  <c r="M6" i="40" l="1"/>
  <c r="L9" i="40"/>
  <c r="D9" i="41"/>
  <c r="Y31" i="40"/>
  <c r="B9" i="41"/>
  <c r="E8" i="41"/>
  <c r="Y30" i="40" s="1"/>
  <c r="Q12" i="40"/>
  <c r="E25" i="40"/>
  <c r="E27" i="40" s="1"/>
  <c r="E33" i="40" s="1"/>
  <c r="U12" i="40"/>
  <c r="I25" i="40"/>
  <c r="I27" i="40" s="1"/>
  <c r="I33" i="40" s="1"/>
  <c r="S12" i="40"/>
  <c r="G25" i="40"/>
  <c r="G27" i="40" s="1"/>
  <c r="G33" i="40" s="1"/>
  <c r="AA12" i="40"/>
  <c r="O25" i="40"/>
  <c r="Y12" i="40"/>
  <c r="M25" i="40"/>
  <c r="P12" i="40"/>
  <c r="D25" i="40"/>
  <c r="D27" i="40" s="1"/>
  <c r="D33" i="40" s="1"/>
  <c r="D34" i="40" s="1"/>
  <c r="T12" i="40"/>
  <c r="H25" i="40"/>
  <c r="H27" i="40" s="1"/>
  <c r="H33" i="40" s="1"/>
  <c r="W12" i="40"/>
  <c r="K25" i="40"/>
  <c r="K27" i="40" s="1"/>
  <c r="K33" i="40" s="1"/>
  <c r="V12" i="40"/>
  <c r="J25" i="40"/>
  <c r="J27" i="40" s="1"/>
  <c r="J33" i="40" s="1"/>
  <c r="Z12" i="40"/>
  <c r="N25" i="40"/>
  <c r="X12" i="40"/>
  <c r="L25" i="40"/>
  <c r="R12" i="40"/>
  <c r="F25" i="40"/>
  <c r="F27" i="40" s="1"/>
  <c r="F33" i="40" s="1"/>
  <c r="U16" i="35"/>
  <c r="V16" i="35"/>
  <c r="U15" i="35"/>
  <c r="M9" i="40" l="1"/>
  <c r="M27" i="40" s="1"/>
  <c r="M33" i="40" s="1"/>
  <c r="N6" i="40"/>
  <c r="E34" i="40"/>
  <c r="F34" i="40" s="1"/>
  <c r="G34" i="40" s="1"/>
  <c r="H34" i="40" s="1"/>
  <c r="I34" i="40" s="1"/>
  <c r="J34" i="40" s="1"/>
  <c r="K34" i="40" s="1"/>
  <c r="L27" i="40"/>
  <c r="L33" i="40" s="1"/>
  <c r="B10" i="41"/>
  <c r="E9" i="41"/>
  <c r="D10" i="41"/>
  <c r="AB31" i="40"/>
  <c r="AD12" i="40"/>
  <c r="R25" i="40"/>
  <c r="AB12" i="40"/>
  <c r="P25" i="40"/>
  <c r="AJ12" i="40"/>
  <c r="AJ25" i="40" s="1"/>
  <c r="X25" i="40"/>
  <c r="Y25" i="40"/>
  <c r="AK12" i="40"/>
  <c r="AK25" i="40" s="1"/>
  <c r="AL12" i="40"/>
  <c r="AL25" i="40" s="1"/>
  <c r="Z25" i="40"/>
  <c r="AM12" i="40"/>
  <c r="AM25" i="40" s="1"/>
  <c r="AA25" i="40"/>
  <c r="AH12" i="40"/>
  <c r="AH25" i="40" s="1"/>
  <c r="V25" i="40"/>
  <c r="AE12" i="40"/>
  <c r="S25" i="40"/>
  <c r="AI12" i="40"/>
  <c r="AI25" i="40" s="1"/>
  <c r="W25" i="40"/>
  <c r="AG12" i="40"/>
  <c r="U25" i="40"/>
  <c r="AF12" i="40"/>
  <c r="T25" i="40"/>
  <c r="AC12" i="40"/>
  <c r="Q25" i="40"/>
  <c r="N5" i="40"/>
  <c r="W16" i="35"/>
  <c r="X16" i="35" s="1"/>
  <c r="Y16" i="35" s="1"/>
  <c r="L34" i="40" l="1"/>
  <c r="M34" i="40" s="1"/>
  <c r="O6" i="40"/>
  <c r="N9" i="40"/>
  <c r="N27" i="40" s="1"/>
  <c r="N33" i="40" s="1"/>
  <c r="D11" i="41"/>
  <c r="AE31" i="40"/>
  <c r="F9" i="41"/>
  <c r="AB30" i="40"/>
  <c r="B11" i="41"/>
  <c r="E10" i="41"/>
  <c r="AE30" i="40" s="1"/>
  <c r="AO12" i="40"/>
  <c r="AO25" i="40" s="1"/>
  <c r="AC25" i="40"/>
  <c r="AR12" i="40"/>
  <c r="AR25" i="40" s="1"/>
  <c r="AF25" i="40"/>
  <c r="AS12" i="40"/>
  <c r="AS25" i="40" s="1"/>
  <c r="AG25" i="40"/>
  <c r="AQ12" i="40"/>
  <c r="AQ25" i="40" s="1"/>
  <c r="AE25" i="40"/>
  <c r="AN12" i="40"/>
  <c r="AN25" i="40" s="1"/>
  <c r="AB25" i="40"/>
  <c r="AP12" i="40"/>
  <c r="AP25" i="40" s="1"/>
  <c r="AD25" i="40"/>
  <c r="O5" i="40"/>
  <c r="P5" i="40" l="1"/>
  <c r="Q5" i="40" s="1"/>
  <c r="N34" i="40"/>
  <c r="P6" i="40"/>
  <c r="Q6" i="40" s="1"/>
  <c r="R6" i="40" s="1"/>
  <c r="S6" i="40" s="1"/>
  <c r="T6" i="40" s="1"/>
  <c r="U6" i="40" s="1"/>
  <c r="V6" i="40" s="1"/>
  <c r="W6" i="40" s="1"/>
  <c r="X6" i="40" s="1"/>
  <c r="Y6" i="40" s="1"/>
  <c r="Z6" i="40" s="1"/>
  <c r="AA6" i="40" s="1"/>
  <c r="AB6" i="40" s="1"/>
  <c r="AC6" i="40" s="1"/>
  <c r="AD6" i="40" s="1"/>
  <c r="AE6" i="40" s="1"/>
  <c r="AF6" i="40" s="1"/>
  <c r="AG6" i="40" s="1"/>
  <c r="AH6" i="40" s="1"/>
  <c r="AI6" i="40" s="1"/>
  <c r="AJ6" i="40" s="1"/>
  <c r="AK6" i="40" s="1"/>
  <c r="AL6" i="40" s="1"/>
  <c r="AM6" i="40" s="1"/>
  <c r="AN6" i="40" s="1"/>
  <c r="AO6" i="40" s="1"/>
  <c r="AP6" i="40" s="1"/>
  <c r="AQ6" i="40" s="1"/>
  <c r="AR6" i="40" s="1"/>
  <c r="AS6" i="40" s="1"/>
  <c r="E11" i="41"/>
  <c r="AH30" i="40" s="1"/>
  <c r="B12" i="41"/>
  <c r="D12" i="41"/>
  <c r="AH31" i="40"/>
  <c r="O9" i="40"/>
  <c r="O27" i="40" s="1"/>
  <c r="O33" i="40" s="1"/>
  <c r="P9" i="40" l="1"/>
  <c r="P27" i="40" s="1"/>
  <c r="P33" i="40" s="1"/>
  <c r="O34" i="40"/>
  <c r="D13" i="41"/>
  <c r="AK31" i="40"/>
  <c r="E12" i="41"/>
  <c r="AK30" i="40" s="1"/>
  <c r="B13" i="41"/>
  <c r="R5" i="40"/>
  <c r="Q9" i="40"/>
  <c r="Q27" i="40" s="1"/>
  <c r="Q33" i="40" s="1"/>
  <c r="P34" i="40" l="1"/>
  <c r="E13" i="41"/>
  <c r="B14" i="41"/>
  <c r="D14" i="41"/>
  <c r="AN31" i="40"/>
  <c r="Q34" i="40"/>
  <c r="S5" i="40"/>
  <c r="R9" i="40"/>
  <c r="R27" i="40" s="1"/>
  <c r="R33" i="40" s="1"/>
  <c r="H18" i="35"/>
  <c r="Q25" i="35" s="1"/>
  <c r="B15" i="41" l="1"/>
  <c r="E14" i="41"/>
  <c r="AQ30" i="40" s="1"/>
  <c r="D15" i="4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D34" i="41" s="1"/>
  <c r="D35" i="41" s="1"/>
  <c r="D36" i="41" s="1"/>
  <c r="D37" i="41" s="1"/>
  <c r="D38" i="41" s="1"/>
  <c r="D39" i="41" s="1"/>
  <c r="D40" i="41" s="1"/>
  <c r="D41" i="41" s="1"/>
  <c r="AQ31" i="40"/>
  <c r="F13" i="41"/>
  <c r="AN30" i="40"/>
  <c r="R34" i="40"/>
  <c r="T5" i="40"/>
  <c r="S9" i="40"/>
  <c r="S27" i="40" s="1"/>
  <c r="S33" i="40" s="1"/>
  <c r="U4" i="35"/>
  <c r="U18" i="35" s="1"/>
  <c r="B16" i="41" l="1"/>
  <c r="E15" i="41"/>
  <c r="S34" i="40"/>
  <c r="U5" i="40"/>
  <c r="T9" i="40"/>
  <c r="T27" i="40" s="1"/>
  <c r="T33" i="40" s="1"/>
  <c r="J426" i="36"/>
  <c r="G426" i="36"/>
  <c r="H426" i="36" s="1"/>
  <c r="I426" i="36" s="1"/>
  <c r="G425" i="36"/>
  <c r="H425" i="36" s="1"/>
  <c r="I425" i="36" s="1"/>
  <c r="J425" i="36" s="1"/>
  <c r="G424" i="36"/>
  <c r="H424" i="36" s="1"/>
  <c r="I424" i="36" s="1"/>
  <c r="J424" i="36" s="1"/>
  <c r="I423" i="36"/>
  <c r="J423" i="36" s="1"/>
  <c r="G423" i="36"/>
  <c r="H423" i="36" s="1"/>
  <c r="G422" i="36"/>
  <c r="H422" i="36" s="1"/>
  <c r="I422" i="36" s="1"/>
  <c r="J422" i="36" s="1"/>
  <c r="G421" i="36"/>
  <c r="H421" i="36" s="1"/>
  <c r="I421" i="36" s="1"/>
  <c r="J421" i="36" s="1"/>
  <c r="J420" i="36"/>
  <c r="I420" i="36"/>
  <c r="G420" i="36"/>
  <c r="H420" i="36" s="1"/>
  <c r="I419" i="36"/>
  <c r="J419" i="36" s="1"/>
  <c r="G419" i="36"/>
  <c r="H419" i="36" s="1"/>
  <c r="I418" i="36"/>
  <c r="J418" i="36" s="1"/>
  <c r="G418" i="36"/>
  <c r="H418" i="36" s="1"/>
  <c r="J417" i="36"/>
  <c r="I417" i="36"/>
  <c r="G417" i="36"/>
  <c r="H417" i="36" s="1"/>
  <c r="G416" i="36"/>
  <c r="H416" i="36" s="1"/>
  <c r="I416" i="36" s="1"/>
  <c r="J416" i="36" s="1"/>
  <c r="J415" i="36"/>
  <c r="I415" i="36"/>
  <c r="G415" i="36"/>
  <c r="H415" i="36" s="1"/>
  <c r="H414" i="36"/>
  <c r="I414" i="36" s="1"/>
  <c r="J414" i="36" s="1"/>
  <c r="G414" i="36"/>
  <c r="G413" i="36"/>
  <c r="H413" i="36" s="1"/>
  <c r="I413" i="36" s="1"/>
  <c r="J413" i="36" s="1"/>
  <c r="G412" i="36"/>
  <c r="H412" i="36" s="1"/>
  <c r="I412" i="36" s="1"/>
  <c r="J412" i="36" s="1"/>
  <c r="G411" i="36"/>
  <c r="H411" i="36" s="1"/>
  <c r="I411" i="36" s="1"/>
  <c r="J411" i="36" s="1"/>
  <c r="J410" i="36"/>
  <c r="I410" i="36"/>
  <c r="H410" i="36"/>
  <c r="G410" i="36"/>
  <c r="G409" i="36"/>
  <c r="H409" i="36" s="1"/>
  <c r="I409" i="36" s="1"/>
  <c r="J409" i="36" s="1"/>
  <c r="I408" i="36"/>
  <c r="J408" i="36" s="1"/>
  <c r="H408" i="36"/>
  <c r="G408" i="36"/>
  <c r="I407" i="36"/>
  <c r="J407" i="36" s="1"/>
  <c r="G407" i="36"/>
  <c r="H407" i="36" s="1"/>
  <c r="H406" i="36"/>
  <c r="I406" i="36" s="1"/>
  <c r="J406" i="36" s="1"/>
  <c r="G406" i="36"/>
  <c r="G405" i="36"/>
  <c r="H405" i="36" s="1"/>
  <c r="I405" i="36" s="1"/>
  <c r="J405" i="36" s="1"/>
  <c r="H404" i="36"/>
  <c r="I404" i="36" s="1"/>
  <c r="J404" i="36" s="1"/>
  <c r="G404" i="36"/>
  <c r="G403" i="36"/>
  <c r="H403" i="36" s="1"/>
  <c r="I403" i="36" s="1"/>
  <c r="J403" i="36" s="1"/>
  <c r="G402" i="36"/>
  <c r="H402" i="36" s="1"/>
  <c r="I402" i="36" s="1"/>
  <c r="J402" i="36" s="1"/>
  <c r="J401" i="36"/>
  <c r="I401" i="36"/>
  <c r="G401" i="36"/>
  <c r="H401" i="36" s="1"/>
  <c r="I400" i="36"/>
  <c r="J400" i="36" s="1"/>
  <c r="G400" i="36"/>
  <c r="H400" i="36" s="1"/>
  <c r="J399" i="36"/>
  <c r="I399" i="36"/>
  <c r="G399" i="36"/>
  <c r="H399" i="36" s="1"/>
  <c r="H398" i="36"/>
  <c r="I398" i="36" s="1"/>
  <c r="J398" i="36" s="1"/>
  <c r="G398" i="36"/>
  <c r="I397" i="36"/>
  <c r="J397" i="36" s="1"/>
  <c r="G397" i="36"/>
  <c r="H397" i="36" s="1"/>
  <c r="G396" i="36"/>
  <c r="H396" i="36" s="1"/>
  <c r="I396" i="36" s="1"/>
  <c r="J396" i="36" s="1"/>
  <c r="G395" i="36"/>
  <c r="H395" i="36" s="1"/>
  <c r="I395" i="36" s="1"/>
  <c r="J395" i="36" s="1"/>
  <c r="G394" i="36"/>
  <c r="H394" i="36" s="1"/>
  <c r="I394" i="36" s="1"/>
  <c r="J394" i="36" s="1"/>
  <c r="J393" i="36"/>
  <c r="G393" i="36"/>
  <c r="H393" i="36" s="1"/>
  <c r="I393" i="36" s="1"/>
  <c r="J392" i="36"/>
  <c r="I392" i="36"/>
  <c r="H392" i="36"/>
  <c r="G392" i="36"/>
  <c r="I391" i="36"/>
  <c r="J391" i="36" s="1"/>
  <c r="G391" i="36"/>
  <c r="H391" i="36" s="1"/>
  <c r="H390" i="36"/>
  <c r="I390" i="36" s="1"/>
  <c r="J390" i="36" s="1"/>
  <c r="G390" i="36"/>
  <c r="G389" i="36"/>
  <c r="H389" i="36" s="1"/>
  <c r="I389" i="36" s="1"/>
  <c r="J389" i="36" s="1"/>
  <c r="G388" i="36"/>
  <c r="H388" i="36" s="1"/>
  <c r="I388" i="36" s="1"/>
  <c r="J388" i="36" s="1"/>
  <c r="G387" i="36"/>
  <c r="H387" i="36" s="1"/>
  <c r="I387" i="36" s="1"/>
  <c r="J387" i="36" s="1"/>
  <c r="I386" i="36"/>
  <c r="J386" i="36" s="1"/>
  <c r="H386" i="36"/>
  <c r="G386" i="36"/>
  <c r="J385" i="36"/>
  <c r="I385" i="36"/>
  <c r="G385" i="36"/>
  <c r="H385" i="36" s="1"/>
  <c r="G384" i="36"/>
  <c r="H384" i="36" s="1"/>
  <c r="I384" i="36" s="1"/>
  <c r="J384" i="36" s="1"/>
  <c r="J383" i="36"/>
  <c r="I383" i="36"/>
  <c r="G383" i="36"/>
  <c r="H383" i="36" s="1"/>
  <c r="G382" i="36"/>
  <c r="H382" i="36" s="1"/>
  <c r="I382" i="36" s="1"/>
  <c r="J382" i="36" s="1"/>
  <c r="G381" i="36"/>
  <c r="H381" i="36" s="1"/>
  <c r="I381" i="36" s="1"/>
  <c r="J381" i="36" s="1"/>
  <c r="G380" i="36"/>
  <c r="H380" i="36" s="1"/>
  <c r="I380" i="36" s="1"/>
  <c r="J380" i="36" s="1"/>
  <c r="J379" i="36"/>
  <c r="I379" i="36"/>
  <c r="G379" i="36"/>
  <c r="H379" i="36" s="1"/>
  <c r="G378" i="36"/>
  <c r="H378" i="36" s="1"/>
  <c r="I378" i="36" s="1"/>
  <c r="J378" i="36" s="1"/>
  <c r="I377" i="36"/>
  <c r="J377" i="36" s="1"/>
  <c r="G377" i="36"/>
  <c r="H377" i="36" s="1"/>
  <c r="J376" i="36"/>
  <c r="I376" i="36"/>
  <c r="H376" i="36"/>
  <c r="G376" i="36"/>
  <c r="I375" i="36"/>
  <c r="J375" i="36" s="1"/>
  <c r="G375" i="36"/>
  <c r="H375" i="36" s="1"/>
  <c r="J374" i="36"/>
  <c r="I374" i="36"/>
  <c r="H374" i="36"/>
  <c r="G374" i="36"/>
  <c r="G373" i="36"/>
  <c r="H373" i="36" s="1"/>
  <c r="I373" i="36" s="1"/>
  <c r="J373" i="36" s="1"/>
  <c r="G372" i="36"/>
  <c r="H372" i="36" s="1"/>
  <c r="I372" i="36" s="1"/>
  <c r="J372" i="36" s="1"/>
  <c r="G371" i="36"/>
  <c r="H371" i="36" s="1"/>
  <c r="I371" i="36" s="1"/>
  <c r="J371" i="36" s="1"/>
  <c r="G370" i="36"/>
  <c r="H370" i="36" s="1"/>
  <c r="I370" i="36" s="1"/>
  <c r="J370" i="36" s="1"/>
  <c r="J369" i="36"/>
  <c r="I369" i="36"/>
  <c r="G369" i="36"/>
  <c r="H369" i="36" s="1"/>
  <c r="I368" i="36"/>
  <c r="J368" i="36" s="1"/>
  <c r="H368" i="36"/>
  <c r="G368" i="36"/>
  <c r="I367" i="36"/>
  <c r="J367" i="36" s="1"/>
  <c r="G367" i="36"/>
  <c r="H367" i="36" s="1"/>
  <c r="G366" i="36"/>
  <c r="H366" i="36" s="1"/>
  <c r="I366" i="36" s="1"/>
  <c r="J366" i="36" s="1"/>
  <c r="J365" i="36"/>
  <c r="I365" i="36"/>
  <c r="G365" i="36"/>
  <c r="H365" i="36" s="1"/>
  <c r="G364" i="36"/>
  <c r="H364" i="36" s="1"/>
  <c r="I364" i="36" s="1"/>
  <c r="J364" i="36" s="1"/>
  <c r="I363" i="36"/>
  <c r="J363" i="36" s="1"/>
  <c r="G363" i="36"/>
  <c r="H363" i="36" s="1"/>
  <c r="J362" i="36"/>
  <c r="G362" i="36"/>
  <c r="H362" i="36" s="1"/>
  <c r="I362" i="36" s="1"/>
  <c r="G361" i="36"/>
  <c r="H361" i="36" s="1"/>
  <c r="I361" i="36" s="1"/>
  <c r="J361" i="36" s="1"/>
  <c r="I360" i="36"/>
  <c r="J360" i="36" s="1"/>
  <c r="H360" i="36"/>
  <c r="G360" i="36"/>
  <c r="I359" i="36"/>
  <c r="J359" i="36" s="1"/>
  <c r="G359" i="36"/>
  <c r="H359" i="36" s="1"/>
  <c r="H358" i="36"/>
  <c r="I358" i="36" s="1"/>
  <c r="J358" i="36" s="1"/>
  <c r="G358" i="36"/>
  <c r="G357" i="36"/>
  <c r="H357" i="36" s="1"/>
  <c r="I357" i="36" s="1"/>
  <c r="J357" i="36" s="1"/>
  <c r="J356" i="36"/>
  <c r="I356" i="36"/>
  <c r="H356" i="36"/>
  <c r="G356" i="36"/>
  <c r="G355" i="36"/>
  <c r="H355" i="36" s="1"/>
  <c r="I355" i="36" s="1"/>
  <c r="J355" i="36" s="1"/>
  <c r="H354" i="36"/>
  <c r="I354" i="36" s="1"/>
  <c r="J354" i="36" s="1"/>
  <c r="G354" i="36"/>
  <c r="J353" i="36"/>
  <c r="I353" i="36"/>
  <c r="G353" i="36"/>
  <c r="H353" i="36" s="1"/>
  <c r="G352" i="36"/>
  <c r="H352" i="36" s="1"/>
  <c r="I352" i="36" s="1"/>
  <c r="J352" i="36" s="1"/>
  <c r="J351" i="36"/>
  <c r="I351" i="36"/>
  <c r="G351" i="36"/>
  <c r="H351" i="36" s="1"/>
  <c r="G350" i="36"/>
  <c r="H350" i="36" s="1"/>
  <c r="I350" i="36" s="1"/>
  <c r="J350" i="36" s="1"/>
  <c r="G349" i="36"/>
  <c r="H349" i="36" s="1"/>
  <c r="I349" i="36" s="1"/>
  <c r="J349" i="36" s="1"/>
  <c r="J348" i="36"/>
  <c r="G348" i="36"/>
  <c r="H348" i="36" s="1"/>
  <c r="I348" i="36" s="1"/>
  <c r="G347" i="36"/>
  <c r="H347" i="36" s="1"/>
  <c r="I347" i="36" s="1"/>
  <c r="J347" i="36" s="1"/>
  <c r="G346" i="36"/>
  <c r="H346" i="36" s="1"/>
  <c r="I346" i="36" s="1"/>
  <c r="J346" i="36" s="1"/>
  <c r="J345" i="36"/>
  <c r="I345" i="36"/>
  <c r="G345" i="36"/>
  <c r="H345" i="36" s="1"/>
  <c r="H344" i="36"/>
  <c r="I344" i="36" s="1"/>
  <c r="J344" i="36" s="1"/>
  <c r="G344" i="36"/>
  <c r="G343" i="36"/>
  <c r="H343" i="36" s="1"/>
  <c r="I343" i="36" s="1"/>
  <c r="J343" i="36" s="1"/>
  <c r="G342" i="36"/>
  <c r="H342" i="36" s="1"/>
  <c r="I342" i="36" s="1"/>
  <c r="J342" i="36" s="1"/>
  <c r="G341" i="36"/>
  <c r="H341" i="36" s="1"/>
  <c r="I341" i="36" s="1"/>
  <c r="J341" i="36" s="1"/>
  <c r="H340" i="36"/>
  <c r="I340" i="36" s="1"/>
  <c r="J340" i="36" s="1"/>
  <c r="G340" i="36"/>
  <c r="J339" i="36"/>
  <c r="G339" i="36"/>
  <c r="H339" i="36" s="1"/>
  <c r="I339" i="36" s="1"/>
  <c r="G338" i="36"/>
  <c r="H338" i="36" s="1"/>
  <c r="I338" i="36" s="1"/>
  <c r="J338" i="36" s="1"/>
  <c r="J337" i="36"/>
  <c r="I337" i="36"/>
  <c r="G337" i="36"/>
  <c r="H337" i="36" s="1"/>
  <c r="G336" i="36"/>
  <c r="H336" i="36" s="1"/>
  <c r="I336" i="36" s="1"/>
  <c r="J336" i="36" s="1"/>
  <c r="G335" i="36"/>
  <c r="H335" i="36" s="1"/>
  <c r="I335" i="36" s="1"/>
  <c r="J335" i="36" s="1"/>
  <c r="H334" i="36"/>
  <c r="I334" i="36" s="1"/>
  <c r="J334" i="36" s="1"/>
  <c r="G334" i="36"/>
  <c r="G333" i="36"/>
  <c r="H333" i="36" s="1"/>
  <c r="I333" i="36" s="1"/>
  <c r="J333" i="36" s="1"/>
  <c r="G332" i="36"/>
  <c r="H332" i="36" s="1"/>
  <c r="I332" i="36" s="1"/>
  <c r="J332" i="36" s="1"/>
  <c r="J331" i="36"/>
  <c r="I331" i="36"/>
  <c r="G331" i="36"/>
  <c r="H331" i="36" s="1"/>
  <c r="G330" i="36"/>
  <c r="H330" i="36" s="1"/>
  <c r="I330" i="36" s="1"/>
  <c r="J330" i="36" s="1"/>
  <c r="G329" i="36"/>
  <c r="H329" i="36" s="1"/>
  <c r="I329" i="36" s="1"/>
  <c r="J329" i="36" s="1"/>
  <c r="J328" i="36"/>
  <c r="I328" i="36"/>
  <c r="H328" i="36"/>
  <c r="G328" i="36"/>
  <c r="G327" i="36"/>
  <c r="H327" i="36" s="1"/>
  <c r="I327" i="36" s="1"/>
  <c r="J327" i="36" s="1"/>
  <c r="I326" i="36"/>
  <c r="J326" i="36" s="1"/>
  <c r="H326" i="36"/>
  <c r="G326" i="36"/>
  <c r="G325" i="36"/>
  <c r="H325" i="36" s="1"/>
  <c r="I325" i="36" s="1"/>
  <c r="J325" i="36" s="1"/>
  <c r="G324" i="36"/>
  <c r="H324" i="36" s="1"/>
  <c r="I324" i="36" s="1"/>
  <c r="J324" i="36" s="1"/>
  <c r="J323" i="36"/>
  <c r="G323" i="36"/>
  <c r="H323" i="36" s="1"/>
  <c r="I323" i="36" s="1"/>
  <c r="G322" i="36"/>
  <c r="H322" i="36" s="1"/>
  <c r="I322" i="36" s="1"/>
  <c r="J322" i="36" s="1"/>
  <c r="I321" i="36"/>
  <c r="J321" i="36" s="1"/>
  <c r="G321" i="36"/>
  <c r="H321" i="36" s="1"/>
  <c r="I320" i="36"/>
  <c r="J320" i="36" s="1"/>
  <c r="H320" i="36"/>
  <c r="G320" i="36"/>
  <c r="G319" i="36"/>
  <c r="H319" i="36" s="1"/>
  <c r="I319" i="36" s="1"/>
  <c r="J319" i="36" s="1"/>
  <c r="G318" i="36"/>
  <c r="H318" i="36" s="1"/>
  <c r="I318" i="36" s="1"/>
  <c r="J318" i="36" s="1"/>
  <c r="J317" i="36"/>
  <c r="I317" i="36"/>
  <c r="G317" i="36"/>
  <c r="H317" i="36" s="1"/>
  <c r="G316" i="36"/>
  <c r="H316" i="36" s="1"/>
  <c r="I316" i="36" s="1"/>
  <c r="J316" i="36" s="1"/>
  <c r="G315" i="36"/>
  <c r="H315" i="36" s="1"/>
  <c r="I315" i="36" s="1"/>
  <c r="J315" i="36" s="1"/>
  <c r="J314" i="36"/>
  <c r="I314" i="36"/>
  <c r="G314" i="36"/>
  <c r="H314" i="36" s="1"/>
  <c r="G313" i="36"/>
  <c r="H313" i="36" s="1"/>
  <c r="I313" i="36" s="1"/>
  <c r="J313" i="36" s="1"/>
  <c r="I312" i="36"/>
  <c r="J312" i="36" s="1"/>
  <c r="H312" i="36"/>
  <c r="G312" i="36"/>
  <c r="I311" i="36"/>
  <c r="J311" i="36" s="1"/>
  <c r="G311" i="36"/>
  <c r="H311" i="36" s="1"/>
  <c r="G310" i="36"/>
  <c r="H310" i="36" s="1"/>
  <c r="I310" i="36" s="1"/>
  <c r="J310" i="36" s="1"/>
  <c r="G309" i="36"/>
  <c r="H309" i="36" s="1"/>
  <c r="I309" i="36" s="1"/>
  <c r="J309" i="36" s="1"/>
  <c r="G308" i="36"/>
  <c r="H308" i="36" s="1"/>
  <c r="I308" i="36" s="1"/>
  <c r="J308" i="36" s="1"/>
  <c r="J307" i="36"/>
  <c r="G307" i="36"/>
  <c r="H307" i="36" s="1"/>
  <c r="I307" i="36" s="1"/>
  <c r="J306" i="36"/>
  <c r="I306" i="36"/>
  <c r="H306" i="36"/>
  <c r="G306" i="36"/>
  <c r="I305" i="36"/>
  <c r="J305" i="36" s="1"/>
  <c r="G305" i="36"/>
  <c r="H305" i="36" s="1"/>
  <c r="H304" i="36"/>
  <c r="I304" i="36" s="1"/>
  <c r="J304" i="36" s="1"/>
  <c r="G304" i="36"/>
  <c r="J303" i="36"/>
  <c r="I303" i="36"/>
  <c r="G303" i="36"/>
  <c r="H303" i="36" s="1"/>
  <c r="G302" i="36"/>
  <c r="H302" i="36" s="1"/>
  <c r="I302" i="36" s="1"/>
  <c r="J302" i="36" s="1"/>
  <c r="I301" i="36"/>
  <c r="J301" i="36" s="1"/>
  <c r="G301" i="36"/>
  <c r="H301" i="36" s="1"/>
  <c r="J300" i="36"/>
  <c r="G300" i="36"/>
  <c r="H300" i="36" s="1"/>
  <c r="I300" i="36" s="1"/>
  <c r="G299" i="36"/>
  <c r="H299" i="36" s="1"/>
  <c r="I299" i="36" s="1"/>
  <c r="J299" i="36" s="1"/>
  <c r="I298" i="36"/>
  <c r="J298" i="36" s="1"/>
  <c r="G298" i="36"/>
  <c r="H298" i="36" s="1"/>
  <c r="J297" i="36"/>
  <c r="I297" i="36"/>
  <c r="G297" i="36"/>
  <c r="H297" i="36" s="1"/>
  <c r="I296" i="36"/>
  <c r="J296" i="36" s="1"/>
  <c r="H296" i="36"/>
  <c r="G296" i="36"/>
  <c r="I295" i="36"/>
  <c r="J295" i="36" s="1"/>
  <c r="G295" i="36"/>
  <c r="H295" i="36" s="1"/>
  <c r="G294" i="36"/>
  <c r="H294" i="36" s="1"/>
  <c r="I294" i="36" s="1"/>
  <c r="J294" i="36" s="1"/>
  <c r="G293" i="36"/>
  <c r="H293" i="36" s="1"/>
  <c r="I293" i="36" s="1"/>
  <c r="J293" i="36" s="1"/>
  <c r="J292" i="36"/>
  <c r="I292" i="36"/>
  <c r="H292" i="36"/>
  <c r="G292" i="36"/>
  <c r="G291" i="36"/>
  <c r="H291" i="36" s="1"/>
  <c r="I291" i="36" s="1"/>
  <c r="J291" i="36" s="1"/>
  <c r="H290" i="36"/>
  <c r="I290" i="36" s="1"/>
  <c r="J290" i="36" s="1"/>
  <c r="G290" i="36"/>
  <c r="J289" i="36"/>
  <c r="I289" i="36"/>
  <c r="G289" i="36"/>
  <c r="H289" i="36" s="1"/>
  <c r="H288" i="36"/>
  <c r="I288" i="36" s="1"/>
  <c r="J288" i="36" s="1"/>
  <c r="G288" i="36"/>
  <c r="J287" i="36"/>
  <c r="I287" i="36"/>
  <c r="G287" i="36"/>
  <c r="H287" i="36" s="1"/>
  <c r="H286" i="36"/>
  <c r="I286" i="36" s="1"/>
  <c r="J286" i="36" s="1"/>
  <c r="G286" i="36"/>
  <c r="G285" i="36"/>
  <c r="H285" i="36" s="1"/>
  <c r="I285" i="36" s="1"/>
  <c r="J285" i="36" s="1"/>
  <c r="J284" i="36"/>
  <c r="G284" i="36"/>
  <c r="H284" i="36" s="1"/>
  <c r="I284" i="36" s="1"/>
  <c r="J283" i="36"/>
  <c r="I283" i="36"/>
  <c r="G283" i="36"/>
  <c r="H283" i="36" s="1"/>
  <c r="G282" i="36"/>
  <c r="H282" i="36" s="1"/>
  <c r="I282" i="36" s="1"/>
  <c r="J282" i="36" s="1"/>
  <c r="J281" i="36"/>
  <c r="I281" i="36"/>
  <c r="G281" i="36"/>
  <c r="H281" i="36" s="1"/>
  <c r="H280" i="36"/>
  <c r="I280" i="36" s="1"/>
  <c r="J280" i="36" s="1"/>
  <c r="G280" i="36"/>
  <c r="G279" i="36"/>
  <c r="H279" i="36" s="1"/>
  <c r="I279" i="36" s="1"/>
  <c r="J279" i="36" s="1"/>
  <c r="J278" i="36"/>
  <c r="I278" i="36"/>
  <c r="H278" i="36"/>
  <c r="G278" i="36"/>
  <c r="G277" i="36"/>
  <c r="H277" i="36" s="1"/>
  <c r="I277" i="36" s="1"/>
  <c r="J277" i="36" s="1"/>
  <c r="H276" i="36"/>
  <c r="I276" i="36" s="1"/>
  <c r="J276" i="36" s="1"/>
  <c r="G276" i="36"/>
  <c r="J275" i="36"/>
  <c r="G275" i="36"/>
  <c r="H275" i="36" s="1"/>
  <c r="I275" i="36" s="1"/>
  <c r="G274" i="36"/>
  <c r="H274" i="36" s="1"/>
  <c r="I274" i="36" s="1"/>
  <c r="J274" i="36" s="1"/>
  <c r="J273" i="36"/>
  <c r="I273" i="36"/>
  <c r="G273" i="36"/>
  <c r="H273" i="36" s="1"/>
  <c r="G272" i="36"/>
  <c r="H272" i="36" s="1"/>
  <c r="I272" i="36" s="1"/>
  <c r="J272" i="36" s="1"/>
  <c r="G271" i="36"/>
  <c r="H271" i="36" s="1"/>
  <c r="I271" i="36" s="1"/>
  <c r="J271" i="36" s="1"/>
  <c r="H270" i="36"/>
  <c r="I270" i="36" s="1"/>
  <c r="J270" i="36" s="1"/>
  <c r="G270" i="36"/>
  <c r="G269" i="36"/>
  <c r="H269" i="36" s="1"/>
  <c r="I269" i="36" s="1"/>
  <c r="J269" i="36" s="1"/>
  <c r="J268" i="36"/>
  <c r="G268" i="36"/>
  <c r="H268" i="36" s="1"/>
  <c r="I268" i="36" s="1"/>
  <c r="J267" i="36"/>
  <c r="I267" i="36"/>
  <c r="G267" i="36"/>
  <c r="H267" i="36" s="1"/>
  <c r="G266" i="36"/>
  <c r="H266" i="36" s="1"/>
  <c r="I266" i="36" s="1"/>
  <c r="J266" i="36" s="1"/>
  <c r="G265" i="36"/>
  <c r="H265" i="36" s="1"/>
  <c r="I265" i="36" s="1"/>
  <c r="J265" i="36" s="1"/>
  <c r="J264" i="36"/>
  <c r="I264" i="36"/>
  <c r="H264" i="36"/>
  <c r="G264" i="36"/>
  <c r="G263" i="36"/>
  <c r="H263" i="36" s="1"/>
  <c r="I263" i="36" s="1"/>
  <c r="J263" i="36" s="1"/>
  <c r="H262" i="36"/>
  <c r="I262" i="36" s="1"/>
  <c r="J262" i="36" s="1"/>
  <c r="G262" i="36"/>
  <c r="G261" i="36"/>
  <c r="H261" i="36" s="1"/>
  <c r="I261" i="36" s="1"/>
  <c r="J261" i="36" s="1"/>
  <c r="H260" i="36"/>
  <c r="I260" i="36" s="1"/>
  <c r="J260" i="36" s="1"/>
  <c r="G260" i="36"/>
  <c r="J259" i="36"/>
  <c r="G259" i="36"/>
  <c r="H259" i="36" s="1"/>
  <c r="I259" i="36" s="1"/>
  <c r="G258" i="36"/>
  <c r="H258" i="36" s="1"/>
  <c r="I258" i="36" s="1"/>
  <c r="J258" i="36" s="1"/>
  <c r="J257" i="36"/>
  <c r="I257" i="36"/>
  <c r="G257" i="36"/>
  <c r="H257" i="36" s="1"/>
  <c r="I256" i="36"/>
  <c r="J256" i="36" s="1"/>
  <c r="H256" i="36"/>
  <c r="G256" i="36"/>
  <c r="H255" i="36"/>
  <c r="I255" i="36" s="1"/>
  <c r="J255" i="36" s="1"/>
  <c r="G255" i="36"/>
  <c r="I254" i="36"/>
  <c r="J254" i="36" s="1"/>
  <c r="H254" i="36"/>
  <c r="G254" i="36"/>
  <c r="H253" i="36"/>
  <c r="I253" i="36" s="1"/>
  <c r="J253" i="36" s="1"/>
  <c r="G253" i="36"/>
  <c r="H252" i="36"/>
  <c r="I252" i="36" s="1"/>
  <c r="J252" i="36" s="1"/>
  <c r="G252" i="36"/>
  <c r="J251" i="36"/>
  <c r="I251" i="36"/>
  <c r="H251" i="36"/>
  <c r="G251" i="36"/>
  <c r="I250" i="36"/>
  <c r="J250" i="36" s="1"/>
  <c r="G250" i="36"/>
  <c r="H250" i="36" s="1"/>
  <c r="J249" i="36"/>
  <c r="I249" i="36"/>
  <c r="H249" i="36"/>
  <c r="G249" i="36"/>
  <c r="H248" i="36"/>
  <c r="I248" i="36" s="1"/>
  <c r="J248" i="36" s="1"/>
  <c r="G248" i="36"/>
  <c r="J247" i="36"/>
  <c r="I247" i="36"/>
  <c r="H247" i="36"/>
  <c r="G247" i="36"/>
  <c r="G246" i="36"/>
  <c r="H246" i="36" s="1"/>
  <c r="I246" i="36" s="1"/>
  <c r="J246" i="36" s="1"/>
  <c r="I245" i="36"/>
  <c r="J245" i="36" s="1"/>
  <c r="H245" i="36"/>
  <c r="G245" i="36"/>
  <c r="G244" i="36"/>
  <c r="H244" i="36" s="1"/>
  <c r="I244" i="36" s="1"/>
  <c r="J244" i="36" s="1"/>
  <c r="J243" i="36"/>
  <c r="H243" i="36"/>
  <c r="I243" i="36" s="1"/>
  <c r="G243" i="36"/>
  <c r="I242" i="36"/>
  <c r="J242" i="36" s="1"/>
  <c r="H242" i="36"/>
  <c r="G242" i="36"/>
  <c r="I241" i="36"/>
  <c r="J241" i="36" s="1"/>
  <c r="H241" i="36"/>
  <c r="G241" i="36"/>
  <c r="I240" i="36"/>
  <c r="J240" i="36" s="1"/>
  <c r="H240" i="36"/>
  <c r="G240" i="36"/>
  <c r="H239" i="36"/>
  <c r="I239" i="36" s="1"/>
  <c r="J239" i="36" s="1"/>
  <c r="G239" i="36"/>
  <c r="H238" i="36"/>
  <c r="I238" i="36" s="1"/>
  <c r="J238" i="36" s="1"/>
  <c r="G238" i="36"/>
  <c r="H237" i="36"/>
  <c r="I237" i="36" s="1"/>
  <c r="J237" i="36" s="1"/>
  <c r="G237" i="36"/>
  <c r="G236" i="36"/>
  <c r="H236" i="36" s="1"/>
  <c r="I236" i="36" s="1"/>
  <c r="J236" i="36" s="1"/>
  <c r="J235" i="36"/>
  <c r="I235" i="36"/>
  <c r="H235" i="36"/>
  <c r="G235" i="36"/>
  <c r="I234" i="36"/>
  <c r="J234" i="36" s="1"/>
  <c r="G234" i="36"/>
  <c r="H234" i="36" s="1"/>
  <c r="J233" i="36"/>
  <c r="I233" i="36"/>
  <c r="H233" i="36"/>
  <c r="G233" i="36"/>
  <c r="H232" i="36"/>
  <c r="I232" i="36" s="1"/>
  <c r="J232" i="36" s="1"/>
  <c r="G232" i="36"/>
  <c r="J231" i="36"/>
  <c r="I231" i="36"/>
  <c r="H231" i="36"/>
  <c r="G231" i="36"/>
  <c r="G230" i="36"/>
  <c r="H230" i="36" s="1"/>
  <c r="I230" i="36" s="1"/>
  <c r="J230" i="36" s="1"/>
  <c r="H229" i="36"/>
  <c r="I229" i="36" s="1"/>
  <c r="J229" i="36" s="1"/>
  <c r="G229" i="36"/>
  <c r="G228" i="36"/>
  <c r="H228" i="36" s="1"/>
  <c r="I228" i="36" s="1"/>
  <c r="J228" i="36" s="1"/>
  <c r="H227" i="36"/>
  <c r="I227" i="36" s="1"/>
  <c r="J227" i="36" s="1"/>
  <c r="G227" i="36"/>
  <c r="I226" i="36"/>
  <c r="J226" i="36" s="1"/>
  <c r="H226" i="36"/>
  <c r="G226" i="36"/>
  <c r="J225" i="36"/>
  <c r="I225" i="36"/>
  <c r="H225" i="36"/>
  <c r="G225" i="36"/>
  <c r="I224" i="36"/>
  <c r="J224" i="36" s="1"/>
  <c r="H224" i="36"/>
  <c r="G224" i="36"/>
  <c r="I223" i="36"/>
  <c r="J223" i="36" s="1"/>
  <c r="H223" i="36"/>
  <c r="G223" i="36"/>
  <c r="H222" i="36"/>
  <c r="I222" i="36" s="1"/>
  <c r="J222" i="36" s="1"/>
  <c r="G222" i="36"/>
  <c r="H221" i="36"/>
  <c r="I221" i="36" s="1"/>
  <c r="J221" i="36" s="1"/>
  <c r="G221" i="36"/>
  <c r="I220" i="36"/>
  <c r="J220" i="36" s="1"/>
  <c r="H220" i="36"/>
  <c r="G220" i="36"/>
  <c r="G219" i="36"/>
  <c r="H219" i="36" s="1"/>
  <c r="I219" i="36" s="1"/>
  <c r="J219" i="36" s="1"/>
  <c r="H218" i="36"/>
  <c r="I218" i="36" s="1"/>
  <c r="J218" i="36" s="1"/>
  <c r="G218" i="36"/>
  <c r="J217" i="36"/>
  <c r="I217" i="36"/>
  <c r="H217" i="36"/>
  <c r="G217" i="36"/>
  <c r="G216" i="36"/>
  <c r="H216" i="36" s="1"/>
  <c r="I216" i="36" s="1"/>
  <c r="J216" i="36" s="1"/>
  <c r="J215" i="36"/>
  <c r="I215" i="36"/>
  <c r="H215" i="36"/>
  <c r="G215" i="36"/>
  <c r="H214" i="36"/>
  <c r="I214" i="36" s="1"/>
  <c r="J214" i="36" s="1"/>
  <c r="G214" i="36"/>
  <c r="I213" i="36"/>
  <c r="J213" i="36" s="1"/>
  <c r="H213" i="36"/>
  <c r="G213" i="36"/>
  <c r="G212" i="36"/>
  <c r="H212" i="36" s="1"/>
  <c r="I212" i="36" s="1"/>
  <c r="J212" i="36" s="1"/>
  <c r="G211" i="36"/>
  <c r="H211" i="36" s="1"/>
  <c r="I211" i="36" s="1"/>
  <c r="J211" i="36" s="1"/>
  <c r="I210" i="36"/>
  <c r="J210" i="36" s="1"/>
  <c r="H210" i="36"/>
  <c r="G210" i="36"/>
  <c r="J209" i="36"/>
  <c r="I209" i="36"/>
  <c r="H209" i="36"/>
  <c r="G209" i="36"/>
  <c r="I208" i="36"/>
  <c r="J208" i="36" s="1"/>
  <c r="H208" i="36"/>
  <c r="G208" i="36"/>
  <c r="H207" i="36"/>
  <c r="I207" i="36" s="1"/>
  <c r="J207" i="36" s="1"/>
  <c r="G207" i="36"/>
  <c r="I206" i="36"/>
  <c r="J206" i="36" s="1"/>
  <c r="H206" i="36"/>
  <c r="G206" i="36"/>
  <c r="H205" i="36"/>
  <c r="I205" i="36" s="1"/>
  <c r="J205" i="36" s="1"/>
  <c r="G205" i="36"/>
  <c r="H204" i="36"/>
  <c r="I204" i="36" s="1"/>
  <c r="J204" i="36" s="1"/>
  <c r="G204" i="36"/>
  <c r="G203" i="36"/>
  <c r="H203" i="36" s="1"/>
  <c r="I203" i="36" s="1"/>
  <c r="J203" i="36" s="1"/>
  <c r="G202" i="36"/>
  <c r="H202" i="36" s="1"/>
  <c r="I202" i="36" s="1"/>
  <c r="J202" i="36" s="1"/>
  <c r="J201" i="36"/>
  <c r="I201" i="36"/>
  <c r="H201" i="36"/>
  <c r="G201" i="36"/>
  <c r="G200" i="36"/>
  <c r="H200" i="36" s="1"/>
  <c r="I200" i="36" s="1"/>
  <c r="J200" i="36" s="1"/>
  <c r="J199" i="36"/>
  <c r="I199" i="36"/>
  <c r="H199" i="36"/>
  <c r="G199" i="36"/>
  <c r="H198" i="36"/>
  <c r="I198" i="36" s="1"/>
  <c r="J198" i="36" s="1"/>
  <c r="G198" i="36"/>
  <c r="H197" i="36"/>
  <c r="I197" i="36" s="1"/>
  <c r="J197" i="36" s="1"/>
  <c r="G197" i="36"/>
  <c r="G196" i="36"/>
  <c r="H196" i="36" s="1"/>
  <c r="I196" i="36" s="1"/>
  <c r="J196" i="36" s="1"/>
  <c r="J195" i="36"/>
  <c r="I195" i="36"/>
  <c r="H195" i="36"/>
  <c r="G195" i="36"/>
  <c r="I194" i="36"/>
  <c r="J194" i="36" s="1"/>
  <c r="H194" i="36"/>
  <c r="G194" i="36"/>
  <c r="I193" i="36"/>
  <c r="J193" i="36" s="1"/>
  <c r="H193" i="36"/>
  <c r="G193" i="36"/>
  <c r="I192" i="36"/>
  <c r="J192" i="36" s="1"/>
  <c r="H192" i="36"/>
  <c r="G192" i="36"/>
  <c r="G191" i="36"/>
  <c r="H191" i="36" s="1"/>
  <c r="I191" i="36" s="1"/>
  <c r="J191" i="36" s="1"/>
  <c r="I190" i="36"/>
  <c r="J190" i="36" s="1"/>
  <c r="H190" i="36"/>
  <c r="G190" i="36"/>
  <c r="G189" i="36"/>
  <c r="H189" i="36" s="1"/>
  <c r="I189" i="36" s="1"/>
  <c r="J189" i="36" s="1"/>
  <c r="H188" i="36"/>
  <c r="I188" i="36" s="1"/>
  <c r="J188" i="36" s="1"/>
  <c r="G188" i="36"/>
  <c r="H187" i="36"/>
  <c r="I187" i="36" s="1"/>
  <c r="J187" i="36" s="1"/>
  <c r="G187" i="36"/>
  <c r="I186" i="36"/>
  <c r="J186" i="36" s="1"/>
  <c r="H186" i="36"/>
  <c r="G186" i="36"/>
  <c r="H185" i="36"/>
  <c r="I185" i="36" s="1"/>
  <c r="J185" i="36" s="1"/>
  <c r="G185" i="36"/>
  <c r="J184" i="36"/>
  <c r="I184" i="36"/>
  <c r="H184" i="36"/>
  <c r="G184" i="36"/>
  <c r="H183" i="36"/>
  <c r="I183" i="36" s="1"/>
  <c r="J183" i="36" s="1"/>
  <c r="G183" i="36"/>
  <c r="J182" i="36"/>
  <c r="I182" i="36"/>
  <c r="H182" i="36"/>
  <c r="G182" i="36"/>
  <c r="G181" i="36"/>
  <c r="H181" i="36" s="1"/>
  <c r="I181" i="36" s="1"/>
  <c r="J181" i="36" s="1"/>
  <c r="H180" i="36"/>
  <c r="I180" i="36" s="1"/>
  <c r="J180" i="36" s="1"/>
  <c r="G180" i="36"/>
  <c r="H179" i="36"/>
  <c r="I179" i="36" s="1"/>
  <c r="J179" i="36" s="1"/>
  <c r="G179" i="36"/>
  <c r="H178" i="36"/>
  <c r="I178" i="36" s="1"/>
  <c r="J178" i="36" s="1"/>
  <c r="G178" i="36"/>
  <c r="H177" i="36"/>
  <c r="I177" i="36" s="1"/>
  <c r="J177" i="36" s="1"/>
  <c r="G177" i="36"/>
  <c r="J176" i="36"/>
  <c r="I176" i="36"/>
  <c r="H176" i="36"/>
  <c r="G176" i="36"/>
  <c r="H175" i="36"/>
  <c r="I175" i="36" s="1"/>
  <c r="J175" i="36" s="1"/>
  <c r="G175" i="36"/>
  <c r="J174" i="36"/>
  <c r="I174" i="36"/>
  <c r="H174" i="36"/>
  <c r="G174" i="36"/>
  <c r="L173" i="36"/>
  <c r="H173" i="36"/>
  <c r="I173" i="36" s="1"/>
  <c r="J173" i="36" s="1"/>
  <c r="G173" i="36"/>
  <c r="L172" i="36"/>
  <c r="J172" i="36"/>
  <c r="I172" i="36"/>
  <c r="H172" i="36"/>
  <c r="G172" i="36"/>
  <c r="L171" i="36"/>
  <c r="H171" i="36"/>
  <c r="I171" i="36" s="1"/>
  <c r="J171" i="36" s="1"/>
  <c r="G171" i="36"/>
  <c r="L170" i="36"/>
  <c r="G170" i="36"/>
  <c r="H170" i="36" s="1"/>
  <c r="I170" i="36" s="1"/>
  <c r="J170" i="36" s="1"/>
  <c r="L169" i="36"/>
  <c r="J169" i="36"/>
  <c r="I169" i="36"/>
  <c r="H169" i="36"/>
  <c r="G169" i="36"/>
  <c r="L168" i="36"/>
  <c r="G168" i="36"/>
  <c r="H168" i="36" s="1"/>
  <c r="I168" i="36" s="1"/>
  <c r="J168" i="36" s="1"/>
  <c r="L167" i="36"/>
  <c r="G167" i="36"/>
  <c r="H167" i="36" s="1"/>
  <c r="I167" i="36" s="1"/>
  <c r="J167" i="36" s="1"/>
  <c r="L166" i="36"/>
  <c r="H166" i="36"/>
  <c r="I166" i="36" s="1"/>
  <c r="J166" i="36" s="1"/>
  <c r="G166" i="36"/>
  <c r="L165" i="36"/>
  <c r="H165" i="36"/>
  <c r="I165" i="36" s="1"/>
  <c r="J165" i="36" s="1"/>
  <c r="G165" i="36"/>
  <c r="L164" i="36"/>
  <c r="J164" i="36"/>
  <c r="I164" i="36"/>
  <c r="H164" i="36"/>
  <c r="G164" i="36"/>
  <c r="L163" i="36"/>
  <c r="J163" i="36"/>
  <c r="I163" i="36"/>
  <c r="H163" i="36"/>
  <c r="G163" i="36"/>
  <c r="L162" i="36"/>
  <c r="G162" i="36"/>
  <c r="H162" i="36" s="1"/>
  <c r="I162" i="36" s="1"/>
  <c r="J162" i="36" s="1"/>
  <c r="L161" i="36"/>
  <c r="J161" i="36"/>
  <c r="I161" i="36"/>
  <c r="H161" i="36"/>
  <c r="G161" i="36"/>
  <c r="L160" i="36"/>
  <c r="G160" i="36"/>
  <c r="H160" i="36" s="1"/>
  <c r="I160" i="36" s="1"/>
  <c r="J160" i="36" s="1"/>
  <c r="L159" i="36"/>
  <c r="G159" i="36"/>
  <c r="H159" i="36" s="1"/>
  <c r="I159" i="36" s="1"/>
  <c r="J159" i="36" s="1"/>
  <c r="L158" i="36"/>
  <c r="H158" i="36"/>
  <c r="I158" i="36" s="1"/>
  <c r="J158" i="36" s="1"/>
  <c r="G158" i="36"/>
  <c r="L157" i="36"/>
  <c r="I157" i="36"/>
  <c r="J157" i="36" s="1"/>
  <c r="H157" i="36"/>
  <c r="G157" i="36"/>
  <c r="L156" i="36"/>
  <c r="J156" i="36"/>
  <c r="I156" i="36"/>
  <c r="H156" i="36"/>
  <c r="G156" i="36"/>
  <c r="L155" i="36"/>
  <c r="G155" i="36"/>
  <c r="H155" i="36" s="1"/>
  <c r="I155" i="36" s="1"/>
  <c r="J155" i="36" s="1"/>
  <c r="L154" i="36"/>
  <c r="G154" i="36"/>
  <c r="H154" i="36" s="1"/>
  <c r="I154" i="36" s="1"/>
  <c r="J154" i="36" s="1"/>
  <c r="L153" i="36"/>
  <c r="J153" i="36"/>
  <c r="I153" i="36"/>
  <c r="H153" i="36"/>
  <c r="G153" i="36"/>
  <c r="L152" i="36"/>
  <c r="I152" i="36"/>
  <c r="J152" i="36" s="1"/>
  <c r="H152" i="36"/>
  <c r="G152" i="36"/>
  <c r="L151" i="36"/>
  <c r="G151" i="36"/>
  <c r="H151" i="36" s="1"/>
  <c r="I151" i="36" s="1"/>
  <c r="J151" i="36" s="1"/>
  <c r="L150" i="36"/>
  <c r="H150" i="36"/>
  <c r="I150" i="36" s="1"/>
  <c r="J150" i="36" s="1"/>
  <c r="G150" i="36"/>
  <c r="L149" i="36"/>
  <c r="G149" i="36"/>
  <c r="H149" i="36" s="1"/>
  <c r="I149" i="36" s="1"/>
  <c r="J149" i="36" s="1"/>
  <c r="L148" i="36"/>
  <c r="J148" i="36"/>
  <c r="I148" i="36"/>
  <c r="H148" i="36"/>
  <c r="G148" i="36"/>
  <c r="L147" i="36"/>
  <c r="H147" i="36"/>
  <c r="I147" i="36" s="1"/>
  <c r="J147" i="36" s="1"/>
  <c r="G147" i="36"/>
  <c r="L146" i="36"/>
  <c r="H146" i="36"/>
  <c r="I146" i="36" s="1"/>
  <c r="J146" i="36" s="1"/>
  <c r="G146" i="36"/>
  <c r="L145" i="36"/>
  <c r="I145" i="36"/>
  <c r="J145" i="36" s="1"/>
  <c r="H145" i="36"/>
  <c r="G145" i="36"/>
  <c r="L144" i="36"/>
  <c r="G144" i="36"/>
  <c r="H144" i="36" s="1"/>
  <c r="I144" i="36" s="1"/>
  <c r="J144" i="36" s="1"/>
  <c r="L143" i="36"/>
  <c r="G143" i="36"/>
  <c r="H143" i="36" s="1"/>
  <c r="I143" i="36" s="1"/>
  <c r="J143" i="36" s="1"/>
  <c r="L142" i="36"/>
  <c r="J142" i="36"/>
  <c r="I142" i="36"/>
  <c r="H142" i="36"/>
  <c r="G142" i="36"/>
  <c r="L141" i="36"/>
  <c r="H141" i="36"/>
  <c r="I141" i="36" s="1"/>
  <c r="J141" i="36" s="1"/>
  <c r="G141" i="36"/>
  <c r="L140" i="36"/>
  <c r="J140" i="36"/>
  <c r="I140" i="36"/>
  <c r="H140" i="36"/>
  <c r="G140" i="36"/>
  <c r="L139" i="36"/>
  <c r="H139" i="36"/>
  <c r="I139" i="36" s="1"/>
  <c r="J139" i="36" s="1"/>
  <c r="G139" i="36"/>
  <c r="L138" i="36"/>
  <c r="G138" i="36"/>
  <c r="H138" i="36" s="1"/>
  <c r="I138" i="36" s="1"/>
  <c r="J138" i="36" s="1"/>
  <c r="L137" i="36"/>
  <c r="J137" i="36"/>
  <c r="I137" i="36"/>
  <c r="H137" i="36"/>
  <c r="G137" i="36"/>
  <c r="L136" i="36"/>
  <c r="G136" i="36"/>
  <c r="H136" i="36" s="1"/>
  <c r="I136" i="36" s="1"/>
  <c r="J136" i="36" s="1"/>
  <c r="L135" i="36"/>
  <c r="G135" i="36"/>
  <c r="H135" i="36" s="1"/>
  <c r="I135" i="36" s="1"/>
  <c r="J135" i="36" s="1"/>
  <c r="L134" i="36"/>
  <c r="H134" i="36"/>
  <c r="I134" i="36" s="1"/>
  <c r="J134" i="36" s="1"/>
  <c r="G134" i="36"/>
  <c r="L133" i="36"/>
  <c r="H133" i="36"/>
  <c r="I133" i="36" s="1"/>
  <c r="J133" i="36" s="1"/>
  <c r="G133" i="36"/>
  <c r="L132" i="36"/>
  <c r="J132" i="36"/>
  <c r="I132" i="36"/>
  <c r="H132" i="36"/>
  <c r="G132" i="36"/>
  <c r="L131" i="36"/>
  <c r="J131" i="36"/>
  <c r="I131" i="36"/>
  <c r="H131" i="36"/>
  <c r="G131" i="36"/>
  <c r="L130" i="36"/>
  <c r="G130" i="36"/>
  <c r="H130" i="36" s="1"/>
  <c r="I130" i="36" s="1"/>
  <c r="J130" i="36" s="1"/>
  <c r="L129" i="36"/>
  <c r="J129" i="36"/>
  <c r="I129" i="36"/>
  <c r="H129" i="36"/>
  <c r="G129" i="36"/>
  <c r="L128" i="36"/>
  <c r="G128" i="36"/>
  <c r="H128" i="36" s="1"/>
  <c r="I128" i="36" s="1"/>
  <c r="J128" i="36" s="1"/>
  <c r="L127" i="36"/>
  <c r="G127" i="36"/>
  <c r="H127" i="36" s="1"/>
  <c r="I127" i="36" s="1"/>
  <c r="J127" i="36" s="1"/>
  <c r="L126" i="36"/>
  <c r="H126" i="36"/>
  <c r="I126" i="36" s="1"/>
  <c r="J126" i="36" s="1"/>
  <c r="G126" i="36"/>
  <c r="L125" i="36"/>
  <c r="I125" i="36"/>
  <c r="J125" i="36" s="1"/>
  <c r="H125" i="36"/>
  <c r="G125" i="36"/>
  <c r="L124" i="36"/>
  <c r="J124" i="36"/>
  <c r="I124" i="36"/>
  <c r="H124" i="36"/>
  <c r="G124" i="36"/>
  <c r="L123" i="36"/>
  <c r="G123" i="36"/>
  <c r="H123" i="36" s="1"/>
  <c r="I123" i="36" s="1"/>
  <c r="J123" i="36" s="1"/>
  <c r="L122" i="36"/>
  <c r="G122" i="36"/>
  <c r="H122" i="36" s="1"/>
  <c r="I122" i="36" s="1"/>
  <c r="J122" i="36" s="1"/>
  <c r="L121" i="36"/>
  <c r="J121" i="36"/>
  <c r="I121" i="36"/>
  <c r="H121" i="36"/>
  <c r="G121" i="36"/>
  <c r="L120" i="36"/>
  <c r="I120" i="36"/>
  <c r="J120" i="36" s="1"/>
  <c r="H120" i="36"/>
  <c r="G120" i="36"/>
  <c r="L119" i="36"/>
  <c r="G119" i="36"/>
  <c r="H119" i="36" s="1"/>
  <c r="I119" i="36" s="1"/>
  <c r="J119" i="36" s="1"/>
  <c r="L118" i="36"/>
  <c r="H118" i="36"/>
  <c r="I118" i="36" s="1"/>
  <c r="J118" i="36" s="1"/>
  <c r="G118" i="36"/>
  <c r="L117" i="36"/>
  <c r="G117" i="36"/>
  <c r="H117" i="36" s="1"/>
  <c r="I117" i="36" s="1"/>
  <c r="J117" i="36" s="1"/>
  <c r="L116" i="36"/>
  <c r="J116" i="36"/>
  <c r="I116" i="36"/>
  <c r="H116" i="36"/>
  <c r="G116" i="36"/>
  <c r="L115" i="36"/>
  <c r="H115" i="36"/>
  <c r="I115" i="36" s="1"/>
  <c r="J115" i="36" s="1"/>
  <c r="G115" i="36"/>
  <c r="L114" i="36"/>
  <c r="H114" i="36"/>
  <c r="I114" i="36" s="1"/>
  <c r="J114" i="36" s="1"/>
  <c r="G114" i="36"/>
  <c r="L113" i="36"/>
  <c r="I113" i="36"/>
  <c r="J113" i="36" s="1"/>
  <c r="H113" i="36"/>
  <c r="G113" i="36"/>
  <c r="L112" i="36"/>
  <c r="G112" i="36"/>
  <c r="H112" i="36" s="1"/>
  <c r="I112" i="36" s="1"/>
  <c r="J112" i="36" s="1"/>
  <c r="L111" i="36"/>
  <c r="G111" i="36"/>
  <c r="H111" i="36" s="1"/>
  <c r="I111" i="36" s="1"/>
  <c r="J111" i="36" s="1"/>
  <c r="L110" i="36"/>
  <c r="J110" i="36"/>
  <c r="I110" i="36"/>
  <c r="H110" i="36"/>
  <c r="G110" i="36"/>
  <c r="L109" i="36"/>
  <c r="H109" i="36"/>
  <c r="I109" i="36" s="1"/>
  <c r="J109" i="36" s="1"/>
  <c r="G109" i="36"/>
  <c r="L108" i="36"/>
  <c r="J108" i="36"/>
  <c r="I108" i="36"/>
  <c r="H108" i="36"/>
  <c r="G108" i="36"/>
  <c r="L107" i="36"/>
  <c r="H107" i="36"/>
  <c r="I107" i="36" s="1"/>
  <c r="J107" i="36" s="1"/>
  <c r="G107" i="36"/>
  <c r="L106" i="36"/>
  <c r="G106" i="36"/>
  <c r="H106" i="36" s="1"/>
  <c r="I106" i="36" s="1"/>
  <c r="J106" i="36" s="1"/>
  <c r="L105" i="36"/>
  <c r="J105" i="36"/>
  <c r="I105" i="36"/>
  <c r="H105" i="36"/>
  <c r="G105" i="36"/>
  <c r="L104" i="36"/>
  <c r="G104" i="36"/>
  <c r="H104" i="36" s="1"/>
  <c r="I104" i="36" s="1"/>
  <c r="J104" i="36" s="1"/>
  <c r="L103" i="36"/>
  <c r="J103" i="36"/>
  <c r="G103" i="36"/>
  <c r="H103" i="36" s="1"/>
  <c r="I103" i="36" s="1"/>
  <c r="L102" i="36"/>
  <c r="G102" i="36"/>
  <c r="H102" i="36" s="1"/>
  <c r="I102" i="36" s="1"/>
  <c r="J102" i="36" s="1"/>
  <c r="L101" i="36"/>
  <c r="I101" i="36"/>
  <c r="J101" i="36" s="1"/>
  <c r="H101" i="36"/>
  <c r="G101" i="36"/>
  <c r="L100" i="36"/>
  <c r="I100" i="36"/>
  <c r="J100" i="36" s="1"/>
  <c r="H100" i="36"/>
  <c r="G100" i="36"/>
  <c r="L99" i="36"/>
  <c r="G99" i="36"/>
  <c r="H99" i="36" s="1"/>
  <c r="I99" i="36" s="1"/>
  <c r="J99" i="36" s="1"/>
  <c r="L98" i="36"/>
  <c r="H98" i="36"/>
  <c r="I98" i="36" s="1"/>
  <c r="J98" i="36" s="1"/>
  <c r="G98" i="36"/>
  <c r="L97" i="36"/>
  <c r="J97" i="36"/>
  <c r="I97" i="36"/>
  <c r="H97" i="36"/>
  <c r="G97" i="36"/>
  <c r="L96" i="36"/>
  <c r="H96" i="36"/>
  <c r="I96" i="36" s="1"/>
  <c r="J96" i="36" s="1"/>
  <c r="G96" i="36"/>
  <c r="L95" i="36"/>
  <c r="G95" i="36"/>
  <c r="H95" i="36" s="1"/>
  <c r="I95" i="36" s="1"/>
  <c r="J95" i="36" s="1"/>
  <c r="L94" i="36"/>
  <c r="H94" i="36"/>
  <c r="I94" i="36" s="1"/>
  <c r="J94" i="36" s="1"/>
  <c r="G94" i="36"/>
  <c r="L93" i="36"/>
  <c r="G93" i="36"/>
  <c r="H93" i="36" s="1"/>
  <c r="I93" i="36" s="1"/>
  <c r="J93" i="36" s="1"/>
  <c r="L92" i="36"/>
  <c r="I92" i="36"/>
  <c r="J92" i="36" s="1"/>
  <c r="G92" i="36"/>
  <c r="H92" i="36" s="1"/>
  <c r="L91" i="36"/>
  <c r="G91" i="36"/>
  <c r="H91" i="36" s="1"/>
  <c r="I91" i="36" s="1"/>
  <c r="J91" i="36" s="1"/>
  <c r="L90" i="36"/>
  <c r="H90" i="36"/>
  <c r="I90" i="36" s="1"/>
  <c r="J90" i="36" s="1"/>
  <c r="G90" i="36"/>
  <c r="L89" i="36"/>
  <c r="H89" i="36"/>
  <c r="I89" i="36" s="1"/>
  <c r="J89" i="36" s="1"/>
  <c r="G89" i="36"/>
  <c r="L88" i="36"/>
  <c r="J88" i="36"/>
  <c r="I88" i="36"/>
  <c r="H88" i="36"/>
  <c r="G88" i="36"/>
  <c r="L87" i="36"/>
  <c r="G87" i="36"/>
  <c r="H87" i="36" s="1"/>
  <c r="I87" i="36" s="1"/>
  <c r="J87" i="36" s="1"/>
  <c r="L86" i="36"/>
  <c r="J86" i="36"/>
  <c r="I86" i="36"/>
  <c r="H86" i="36"/>
  <c r="G86" i="36"/>
  <c r="L85" i="36"/>
  <c r="H85" i="36"/>
  <c r="I85" i="36" s="1"/>
  <c r="J85" i="36" s="1"/>
  <c r="G85" i="36"/>
  <c r="L84" i="36"/>
  <c r="J84" i="36"/>
  <c r="I84" i="36"/>
  <c r="H84" i="36"/>
  <c r="G84" i="36"/>
  <c r="L83" i="36"/>
  <c r="H83" i="36"/>
  <c r="I83" i="36" s="1"/>
  <c r="J83" i="36" s="1"/>
  <c r="G83" i="36"/>
  <c r="L82" i="36"/>
  <c r="G82" i="36"/>
  <c r="H82" i="36" s="1"/>
  <c r="I82" i="36" s="1"/>
  <c r="J82" i="36" s="1"/>
  <c r="L81" i="36"/>
  <c r="H81" i="36"/>
  <c r="I81" i="36" s="1"/>
  <c r="J81" i="36" s="1"/>
  <c r="G81" i="36"/>
  <c r="L80" i="36"/>
  <c r="G80" i="36"/>
  <c r="H80" i="36" s="1"/>
  <c r="I80" i="36" s="1"/>
  <c r="J80" i="36" s="1"/>
  <c r="L79" i="36"/>
  <c r="J79" i="36"/>
  <c r="G79" i="36"/>
  <c r="H79" i="36" s="1"/>
  <c r="I79" i="36" s="1"/>
  <c r="L78" i="36"/>
  <c r="G78" i="36"/>
  <c r="H78" i="36" s="1"/>
  <c r="I78" i="36" s="1"/>
  <c r="J78" i="36" s="1"/>
  <c r="L77" i="36"/>
  <c r="I77" i="36"/>
  <c r="J77" i="36" s="1"/>
  <c r="H77" i="36"/>
  <c r="G77" i="36"/>
  <c r="L76" i="36"/>
  <c r="I76" i="36"/>
  <c r="J76" i="36" s="1"/>
  <c r="H76" i="36"/>
  <c r="G76" i="36"/>
  <c r="L75" i="36"/>
  <c r="G75" i="36"/>
  <c r="H75" i="36" s="1"/>
  <c r="I75" i="36" s="1"/>
  <c r="J75" i="36" s="1"/>
  <c r="L74" i="36"/>
  <c r="H74" i="36"/>
  <c r="I74" i="36" s="1"/>
  <c r="J74" i="36" s="1"/>
  <c r="G74" i="36"/>
  <c r="L73" i="36"/>
  <c r="J73" i="36"/>
  <c r="I73" i="36"/>
  <c r="H73" i="36"/>
  <c r="G73" i="36"/>
  <c r="L72" i="36"/>
  <c r="H72" i="36"/>
  <c r="I72" i="36" s="1"/>
  <c r="J72" i="36" s="1"/>
  <c r="G72" i="36"/>
  <c r="L71" i="36"/>
  <c r="G71" i="36"/>
  <c r="H71" i="36" s="1"/>
  <c r="I71" i="36" s="1"/>
  <c r="J71" i="36" s="1"/>
  <c r="L70" i="36"/>
  <c r="H70" i="36"/>
  <c r="I70" i="36" s="1"/>
  <c r="J70" i="36" s="1"/>
  <c r="G70" i="36"/>
  <c r="L69" i="36"/>
  <c r="G69" i="36"/>
  <c r="H69" i="36" s="1"/>
  <c r="I69" i="36" s="1"/>
  <c r="J69" i="36" s="1"/>
  <c r="L68" i="36"/>
  <c r="I68" i="36"/>
  <c r="J68" i="36" s="1"/>
  <c r="H68" i="36"/>
  <c r="G68" i="36"/>
  <c r="L67" i="36"/>
  <c r="H67" i="36"/>
  <c r="I67" i="36" s="1"/>
  <c r="J67" i="36" s="1"/>
  <c r="G67" i="36"/>
  <c r="L66" i="36"/>
  <c r="H66" i="36"/>
  <c r="I66" i="36" s="1"/>
  <c r="J66" i="36" s="1"/>
  <c r="G66" i="36"/>
  <c r="L65" i="36"/>
  <c r="H65" i="36"/>
  <c r="I65" i="36" s="1"/>
  <c r="J65" i="36" s="1"/>
  <c r="G65" i="36"/>
  <c r="L64" i="36"/>
  <c r="G64" i="36"/>
  <c r="H64" i="36" s="1"/>
  <c r="I64" i="36" s="1"/>
  <c r="J64" i="36" s="1"/>
  <c r="L63" i="36"/>
  <c r="J63" i="36"/>
  <c r="G63" i="36"/>
  <c r="H63" i="36" s="1"/>
  <c r="I63" i="36" s="1"/>
  <c r="L62" i="36"/>
  <c r="G62" i="36"/>
  <c r="H62" i="36" s="1"/>
  <c r="I62" i="36" s="1"/>
  <c r="J62" i="36" s="1"/>
  <c r="L61" i="36"/>
  <c r="G61" i="36"/>
  <c r="H61" i="36" s="1"/>
  <c r="I61" i="36" s="1"/>
  <c r="J61" i="36" s="1"/>
  <c r="L60" i="36"/>
  <c r="G60" i="36"/>
  <c r="H60" i="36" s="1"/>
  <c r="I60" i="36" s="1"/>
  <c r="J60" i="36" s="1"/>
  <c r="L59" i="36"/>
  <c r="H59" i="36"/>
  <c r="I59" i="36" s="1"/>
  <c r="J59" i="36" s="1"/>
  <c r="G59" i="36"/>
  <c r="L58" i="36"/>
  <c r="G58" i="36"/>
  <c r="H58" i="36" s="1"/>
  <c r="I58" i="36" s="1"/>
  <c r="J58" i="36" s="1"/>
  <c r="L57" i="36"/>
  <c r="H57" i="36"/>
  <c r="I57" i="36" s="1"/>
  <c r="J57" i="36" s="1"/>
  <c r="G57" i="36"/>
  <c r="L56" i="36"/>
  <c r="G56" i="36"/>
  <c r="H56" i="36" s="1"/>
  <c r="I56" i="36" s="1"/>
  <c r="J56" i="36" s="1"/>
  <c r="L55" i="36"/>
  <c r="J55" i="36"/>
  <c r="G55" i="36"/>
  <c r="H55" i="36" s="1"/>
  <c r="I55" i="36" s="1"/>
  <c r="L54" i="36"/>
  <c r="G54" i="36"/>
  <c r="H54" i="36" s="1"/>
  <c r="I54" i="36" s="1"/>
  <c r="J54" i="36" s="1"/>
  <c r="L53" i="36"/>
  <c r="I53" i="36"/>
  <c r="J53" i="36" s="1"/>
  <c r="H53" i="36"/>
  <c r="G53" i="36"/>
  <c r="L52" i="36"/>
  <c r="G52" i="36"/>
  <c r="H52" i="36" s="1"/>
  <c r="I52" i="36" s="1"/>
  <c r="J52" i="36" s="1"/>
  <c r="L51" i="36"/>
  <c r="J51" i="36"/>
  <c r="I51" i="36"/>
  <c r="H51" i="36"/>
  <c r="G51" i="36"/>
  <c r="L50" i="36"/>
  <c r="G50" i="36"/>
  <c r="H50" i="36" s="1"/>
  <c r="I50" i="36" s="1"/>
  <c r="J50" i="36" s="1"/>
  <c r="L49" i="36"/>
  <c r="J49" i="36"/>
  <c r="I49" i="36"/>
  <c r="H49" i="36"/>
  <c r="G49" i="36"/>
  <c r="L48" i="36"/>
  <c r="G48" i="36"/>
  <c r="H48" i="36" s="1"/>
  <c r="I48" i="36" s="1"/>
  <c r="J48" i="36" s="1"/>
  <c r="L47" i="36"/>
  <c r="J47" i="36"/>
  <c r="G47" i="36"/>
  <c r="H47" i="36" s="1"/>
  <c r="I47" i="36" s="1"/>
  <c r="L46" i="36"/>
  <c r="G46" i="36"/>
  <c r="H46" i="36" s="1"/>
  <c r="I46" i="36" s="1"/>
  <c r="J46" i="36" s="1"/>
  <c r="L45" i="36"/>
  <c r="G45" i="36"/>
  <c r="H45" i="36" s="1"/>
  <c r="I45" i="36" s="1"/>
  <c r="J45" i="36" s="1"/>
  <c r="L44" i="36"/>
  <c r="G44" i="36"/>
  <c r="H44" i="36" s="1"/>
  <c r="I44" i="36" s="1"/>
  <c r="J44" i="36" s="1"/>
  <c r="L43" i="36"/>
  <c r="G43" i="36"/>
  <c r="H43" i="36" s="1"/>
  <c r="I43" i="36" s="1"/>
  <c r="J43" i="36" s="1"/>
  <c r="L42" i="36"/>
  <c r="G42" i="36"/>
  <c r="H42" i="36" s="1"/>
  <c r="I42" i="36" s="1"/>
  <c r="J42" i="36" s="1"/>
  <c r="L41" i="36"/>
  <c r="H41" i="36"/>
  <c r="I41" i="36" s="1"/>
  <c r="J41" i="36" s="1"/>
  <c r="G41" i="36"/>
  <c r="L40" i="36"/>
  <c r="I40" i="36"/>
  <c r="J40" i="36" s="1"/>
  <c r="H40" i="36"/>
  <c r="G40" i="36"/>
  <c r="L39" i="36"/>
  <c r="G39" i="36"/>
  <c r="H39" i="36" s="1"/>
  <c r="I39" i="36" s="1"/>
  <c r="J39" i="36" s="1"/>
  <c r="P38" i="36"/>
  <c r="L38" i="36"/>
  <c r="J38" i="36"/>
  <c r="I38" i="36"/>
  <c r="G38" i="36"/>
  <c r="H38" i="36" s="1"/>
  <c r="P37" i="36"/>
  <c r="L37" i="36"/>
  <c r="J37" i="36"/>
  <c r="I37" i="36"/>
  <c r="G37" i="36"/>
  <c r="H37" i="36" s="1"/>
  <c r="P36" i="36"/>
  <c r="L36" i="36"/>
  <c r="I36" i="36"/>
  <c r="J36" i="36" s="1"/>
  <c r="G36" i="36"/>
  <c r="H36" i="36" s="1"/>
  <c r="P35" i="36"/>
  <c r="L35" i="36"/>
  <c r="G35" i="36"/>
  <c r="H35" i="36" s="1"/>
  <c r="I35" i="36" s="1"/>
  <c r="J35" i="36" s="1"/>
  <c r="P34" i="36"/>
  <c r="L34" i="36"/>
  <c r="G34" i="36"/>
  <c r="H34" i="36" s="1"/>
  <c r="I34" i="36" s="1"/>
  <c r="J34" i="36" s="1"/>
  <c r="L33" i="36"/>
  <c r="I33" i="36"/>
  <c r="J33" i="36" s="1"/>
  <c r="G33" i="36"/>
  <c r="H33" i="36" s="1"/>
  <c r="L32" i="36"/>
  <c r="G32" i="36"/>
  <c r="H32" i="36" s="1"/>
  <c r="I32" i="36" s="1"/>
  <c r="J32" i="36" s="1"/>
  <c r="L31" i="36"/>
  <c r="H31" i="36"/>
  <c r="I31" i="36" s="1"/>
  <c r="J31" i="36" s="1"/>
  <c r="G31" i="36"/>
  <c r="L30" i="36"/>
  <c r="H30" i="36"/>
  <c r="I30" i="36" s="1"/>
  <c r="J30" i="36" s="1"/>
  <c r="G30" i="36"/>
  <c r="L29" i="36"/>
  <c r="G29" i="36"/>
  <c r="H29" i="36" s="1"/>
  <c r="I29" i="36" s="1"/>
  <c r="J29" i="36" s="1"/>
  <c r="L28" i="36"/>
  <c r="G28" i="36"/>
  <c r="H28" i="36" s="1"/>
  <c r="I28" i="36" s="1"/>
  <c r="J28" i="36" s="1"/>
  <c r="L27" i="36"/>
  <c r="G27" i="36"/>
  <c r="H27" i="36" s="1"/>
  <c r="I27" i="36" s="1"/>
  <c r="J27" i="36" s="1"/>
  <c r="L26" i="36"/>
  <c r="G26" i="36"/>
  <c r="H26" i="36" s="1"/>
  <c r="I26" i="36" s="1"/>
  <c r="L25" i="36"/>
  <c r="F25" i="36"/>
  <c r="E12" i="36" s="1"/>
  <c r="C25" i="36"/>
  <c r="E17" i="36"/>
  <c r="E19" i="36" s="1"/>
  <c r="E14" i="36"/>
  <c r="B17" i="41" l="1"/>
  <c r="E16" i="41"/>
  <c r="T34" i="40"/>
  <c r="V5" i="40"/>
  <c r="U9" i="40"/>
  <c r="U27" i="40" s="1"/>
  <c r="U33" i="40" s="1"/>
  <c r="J26" i="36"/>
  <c r="J25" i="36" s="1"/>
  <c r="H25" i="36" s="1"/>
  <c r="H6" i="36" s="1"/>
  <c r="H7" i="36" s="1"/>
  <c r="I25" i="36"/>
  <c r="E15" i="36"/>
  <c r="E13" i="36" s="1"/>
  <c r="O34" i="36"/>
  <c r="P33" i="36"/>
  <c r="O33" i="36" s="1"/>
  <c r="O36" i="36"/>
  <c r="O35" i="36"/>
  <c r="O37" i="36"/>
  <c r="B18" i="41" l="1"/>
  <c r="E17" i="41"/>
  <c r="F17" i="41" s="1"/>
  <c r="U34" i="40"/>
  <c r="W5" i="40"/>
  <c r="V9" i="40"/>
  <c r="V27" i="40" s="1"/>
  <c r="V33" i="40" s="1"/>
  <c r="Q36" i="36"/>
  <c r="Q37" i="36"/>
  <c r="Q35" i="36"/>
  <c r="Q38" i="36"/>
  <c r="Q34" i="36"/>
  <c r="B19" i="41" l="1"/>
  <c r="E18" i="41"/>
  <c r="V34" i="40"/>
  <c r="X5" i="40"/>
  <c r="Y5" i="40" s="1"/>
  <c r="W9" i="40"/>
  <c r="W27" i="40" s="1"/>
  <c r="W33" i="40" s="1"/>
  <c r="Q33" i="36"/>
  <c r="B20" i="41" l="1"/>
  <c r="E19" i="41"/>
  <c r="W34" i="40"/>
  <c r="Y9" i="40"/>
  <c r="Y27" i="40" s="1"/>
  <c r="Y33" i="40" s="1"/>
  <c r="X9" i="40"/>
  <c r="X27" i="40" s="1"/>
  <c r="X33" i="40" s="1"/>
  <c r="J18" i="35"/>
  <c r="G4" i="35"/>
  <c r="B21" i="41" l="1"/>
  <c r="E20" i="41"/>
  <c r="X34" i="40"/>
  <c r="Y34" i="40" s="1"/>
  <c r="Z5" i="40"/>
  <c r="E21" i="41" l="1"/>
  <c r="F21" i="41" s="1"/>
  <c r="B22" i="41"/>
  <c r="AA5" i="40"/>
  <c r="AB5" i="40" s="1"/>
  <c r="Z9" i="40"/>
  <c r="Z27" i="40" s="1"/>
  <c r="Z33" i="40" s="1"/>
  <c r="Z34" i="40" s="1"/>
  <c r="D72" i="9"/>
  <c r="B23" i="41" l="1"/>
  <c r="E22" i="41"/>
  <c r="AA9" i="40"/>
  <c r="AA27" i="40" s="1"/>
  <c r="AA33" i="40" s="1"/>
  <c r="AA34" i="40" s="1"/>
  <c r="V15" i="35"/>
  <c r="D82" i="9"/>
  <c r="E82" i="9" s="1"/>
  <c r="G82" i="9" s="1"/>
  <c r="D81" i="9"/>
  <c r="E81" i="9" s="1"/>
  <c r="G81" i="9" s="1"/>
  <c r="D80" i="9"/>
  <c r="E80" i="9" s="1"/>
  <c r="G80" i="9" s="1"/>
  <c r="D79" i="9"/>
  <c r="E79" i="9" s="1"/>
  <c r="G79" i="9" s="1"/>
  <c r="D78" i="9"/>
  <c r="E78" i="9" s="1"/>
  <c r="G78" i="9" s="1"/>
  <c r="D77" i="9"/>
  <c r="E77" i="9" s="1"/>
  <c r="G77" i="9" s="1"/>
  <c r="D76" i="9"/>
  <c r="E76" i="9" s="1"/>
  <c r="G76" i="9" s="1"/>
  <c r="D75" i="9"/>
  <c r="E75" i="9" s="1"/>
  <c r="G75" i="9" s="1"/>
  <c r="D74" i="9"/>
  <c r="E74" i="9" s="1"/>
  <c r="G74" i="9" s="1"/>
  <c r="D73" i="9"/>
  <c r="E73" i="9" s="1"/>
  <c r="G73" i="9" s="1"/>
  <c r="B24" i="41" l="1"/>
  <c r="E23" i="41"/>
  <c r="AC5" i="40"/>
  <c r="AB9" i="40"/>
  <c r="AB27" i="40" s="1"/>
  <c r="AB33" i="40" s="1"/>
  <c r="AB34" i="40" s="1"/>
  <c r="D102" i="9"/>
  <c r="B25" i="41" l="1"/>
  <c r="E24" i="41"/>
  <c r="AD5" i="40"/>
  <c r="AC9" i="40"/>
  <c r="AC27" i="40" s="1"/>
  <c r="AC33" i="40" s="1"/>
  <c r="AC34" i="40" s="1"/>
  <c r="N4" i="35"/>
  <c r="D18" i="35"/>
  <c r="B26" i="41" l="1"/>
  <c r="E25" i="41"/>
  <c r="F25" i="41" s="1"/>
  <c r="AE5" i="40"/>
  <c r="AD9" i="40"/>
  <c r="AD27" i="40" s="1"/>
  <c r="AD33" i="40" s="1"/>
  <c r="AD34" i="40" s="1"/>
  <c r="E6" i="35"/>
  <c r="E8" i="35"/>
  <c r="E7" i="35"/>
  <c r="E10" i="35"/>
  <c r="E11" i="35"/>
  <c r="E12" i="35"/>
  <c r="E5" i="35"/>
  <c r="E13" i="35"/>
  <c r="E9" i="35"/>
  <c r="E14" i="35"/>
  <c r="B27" i="41" l="1"/>
  <c r="E26" i="41"/>
  <c r="AF5" i="40"/>
  <c r="AE9" i="40"/>
  <c r="AE27" i="40" s="1"/>
  <c r="AE33" i="40" s="1"/>
  <c r="AE34" i="40" s="1"/>
  <c r="E86" i="9"/>
  <c r="I4" i="35"/>
  <c r="B28" i="41" l="1"/>
  <c r="E27" i="41"/>
  <c r="AG5" i="40"/>
  <c r="AF9" i="40"/>
  <c r="AF27" i="40" s="1"/>
  <c r="AF33" i="40" s="1"/>
  <c r="AF34" i="40" s="1"/>
  <c r="E4" i="35"/>
  <c r="E28" i="41" l="1"/>
  <c r="B29" i="41"/>
  <c r="AH5" i="40"/>
  <c r="AG9" i="40"/>
  <c r="AG27" i="40" s="1"/>
  <c r="AG33" i="40" s="1"/>
  <c r="AG34" i="40" s="1"/>
  <c r="E18" i="35"/>
  <c r="E29" i="41" l="1"/>
  <c r="F29" i="41" s="1"/>
  <c r="B30" i="41"/>
  <c r="AI5" i="40"/>
  <c r="AH9" i="40"/>
  <c r="AH27" i="40" s="1"/>
  <c r="AH33" i="40" s="1"/>
  <c r="AH34" i="40" s="1"/>
  <c r="C17" i="9"/>
  <c r="G7" i="30"/>
  <c r="O17" i="30"/>
  <c r="C17" i="30" s="1"/>
  <c r="D115" i="9"/>
  <c r="B31" i="41" l="1"/>
  <c r="E30" i="41"/>
  <c r="AJ5" i="40"/>
  <c r="AK5" i="40" s="1"/>
  <c r="AI9" i="40"/>
  <c r="AI27" i="40" s="1"/>
  <c r="AI33" i="40" s="1"/>
  <c r="AI34" i="40" s="1"/>
  <c r="C43" i="9"/>
  <c r="S23" i="30"/>
  <c r="S51" i="30" s="1"/>
  <c r="R23" i="30"/>
  <c r="R51" i="30" s="1"/>
  <c r="Q23" i="30"/>
  <c r="Q51" i="30" s="1"/>
  <c r="P23" i="30"/>
  <c r="P51" i="30" s="1"/>
  <c r="O23" i="30"/>
  <c r="O51" i="30" s="1"/>
  <c r="N23" i="30"/>
  <c r="N51" i="30" s="1"/>
  <c r="M23" i="30"/>
  <c r="M51" i="30" s="1"/>
  <c r="L23" i="30"/>
  <c r="L51" i="30" s="1"/>
  <c r="K23" i="30"/>
  <c r="K51" i="30" s="1"/>
  <c r="J23" i="30"/>
  <c r="J51" i="30" s="1"/>
  <c r="I23" i="30"/>
  <c r="I51" i="30" s="1"/>
  <c r="H23" i="30"/>
  <c r="H51" i="30" s="1"/>
  <c r="G23" i="30"/>
  <c r="G51" i="30" s="1"/>
  <c r="F23" i="30"/>
  <c r="F51" i="30" s="1"/>
  <c r="E23" i="30"/>
  <c r="E51" i="30" s="1"/>
  <c r="D23" i="30"/>
  <c r="D51" i="30" s="1"/>
  <c r="S22" i="30"/>
  <c r="S50" i="30" s="1"/>
  <c r="R22" i="30"/>
  <c r="R50" i="30" s="1"/>
  <c r="Q22" i="30"/>
  <c r="Q50" i="30" s="1"/>
  <c r="P22" i="30"/>
  <c r="P50" i="30" s="1"/>
  <c r="O22" i="30"/>
  <c r="O50" i="30" s="1"/>
  <c r="N22" i="30"/>
  <c r="N50" i="30" s="1"/>
  <c r="M22" i="30"/>
  <c r="M50" i="30" s="1"/>
  <c r="L22" i="30"/>
  <c r="L50" i="30" s="1"/>
  <c r="K22" i="30"/>
  <c r="K50" i="30" s="1"/>
  <c r="J22" i="30"/>
  <c r="J50" i="30" s="1"/>
  <c r="I22" i="30"/>
  <c r="I50" i="30" s="1"/>
  <c r="H22" i="30"/>
  <c r="H50" i="30" s="1"/>
  <c r="G22" i="30"/>
  <c r="G50" i="30" s="1"/>
  <c r="F22" i="30"/>
  <c r="F50" i="30" s="1"/>
  <c r="E22" i="30"/>
  <c r="E50" i="30" s="1"/>
  <c r="D22" i="30"/>
  <c r="D50" i="30" s="1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E18" i="30"/>
  <c r="D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31" i="41" l="1"/>
  <c r="B32" i="41"/>
  <c r="AJ9" i="40"/>
  <c r="AJ27" i="40" s="1"/>
  <c r="AJ33" i="40" s="1"/>
  <c r="AJ34" i="40" s="1"/>
  <c r="C51" i="30"/>
  <c r="C50" i="30"/>
  <c r="C20" i="30"/>
  <c r="C21" i="30"/>
  <c r="C22" i="30"/>
  <c r="C23" i="30"/>
  <c r="C18" i="30"/>
  <c r="C19" i="30"/>
  <c r="B33" i="41" l="1"/>
  <c r="E32" i="41"/>
  <c r="AK9" i="40"/>
  <c r="AK27" i="40" s="1"/>
  <c r="AK33" i="40" s="1"/>
  <c r="AK34" i="40" s="1"/>
  <c r="AL5" i="40"/>
  <c r="D131" i="9"/>
  <c r="D43" i="9"/>
  <c r="D44" i="9"/>
  <c r="C36" i="9"/>
  <c r="B34" i="41" l="1"/>
  <c r="E33" i="41"/>
  <c r="F33" i="41" s="1"/>
  <c r="AM5" i="40"/>
  <c r="AN5" i="40" s="1"/>
  <c r="AL9" i="40"/>
  <c r="AL27" i="40" s="1"/>
  <c r="AL33" i="40" s="1"/>
  <c r="AL34" i="40" s="1"/>
  <c r="D123" i="9"/>
  <c r="D122" i="9"/>
  <c r="C29" i="30"/>
  <c r="S29" i="30" s="1"/>
  <c r="D48" i="9"/>
  <c r="D49" i="9"/>
  <c r="C30" i="30"/>
  <c r="D30" i="30" s="1"/>
  <c r="Q29" i="30"/>
  <c r="B35" i="41" l="1"/>
  <c r="E34" i="41"/>
  <c r="AM9" i="40"/>
  <c r="AM27" i="40" s="1"/>
  <c r="AM33" i="40" s="1"/>
  <c r="AM34" i="40" s="1"/>
  <c r="R29" i="30"/>
  <c r="E29" i="30"/>
  <c r="K29" i="30"/>
  <c r="J29" i="30"/>
  <c r="G29" i="30"/>
  <c r="N29" i="30"/>
  <c r="P29" i="30"/>
  <c r="O29" i="30"/>
  <c r="D29" i="30"/>
  <c r="H29" i="30"/>
  <c r="F29" i="30"/>
  <c r="L29" i="30"/>
  <c r="I29" i="30"/>
  <c r="M29" i="30"/>
  <c r="D50" i="9"/>
  <c r="E30" i="30"/>
  <c r="E37" i="30" s="1"/>
  <c r="N30" i="30"/>
  <c r="M30" i="30"/>
  <c r="H30" i="30"/>
  <c r="H37" i="30" s="1"/>
  <c r="Q30" i="30"/>
  <c r="K30" i="30"/>
  <c r="L30" i="30"/>
  <c r="G30" i="30"/>
  <c r="S30" i="30"/>
  <c r="J30" i="30"/>
  <c r="I30" i="30"/>
  <c r="D37" i="30"/>
  <c r="F30" i="30"/>
  <c r="P30" i="30"/>
  <c r="R30" i="30"/>
  <c r="O30" i="30"/>
  <c r="B36" i="41" l="1"/>
  <c r="E35" i="41"/>
  <c r="AO5" i="40"/>
  <c r="AN9" i="40"/>
  <c r="AN27" i="40" s="1"/>
  <c r="AN33" i="40" s="1"/>
  <c r="AN34" i="40" s="1"/>
  <c r="G37" i="30"/>
  <c r="F37" i="30"/>
  <c r="I37" i="30"/>
  <c r="B37" i="41" l="1"/>
  <c r="E36" i="41"/>
  <c r="AP5" i="40"/>
  <c r="AO9" i="40"/>
  <c r="AO27" i="40" s="1"/>
  <c r="AO33" i="40" s="1"/>
  <c r="AO34" i="40" s="1"/>
  <c r="J37" i="30"/>
  <c r="B38" i="41" l="1"/>
  <c r="E37" i="41"/>
  <c r="F37" i="41" s="1"/>
  <c r="AQ5" i="40"/>
  <c r="AP9" i="40"/>
  <c r="AP27" i="40" s="1"/>
  <c r="AP33" i="40" s="1"/>
  <c r="AP34" i="40" s="1"/>
  <c r="K37" i="30"/>
  <c r="B39" i="41" l="1"/>
  <c r="E38" i="41"/>
  <c r="AR5" i="40"/>
  <c r="AQ9" i="40"/>
  <c r="AQ27" i="40" s="1"/>
  <c r="AQ33" i="40" s="1"/>
  <c r="AQ34" i="40" s="1"/>
  <c r="L37" i="30"/>
  <c r="B40" i="41" l="1"/>
  <c r="E39" i="41"/>
  <c r="AS5" i="40"/>
  <c r="AS9" i="40" s="1"/>
  <c r="AS27" i="40" s="1"/>
  <c r="AS33" i="40" s="1"/>
  <c r="AR9" i="40"/>
  <c r="AR27" i="40" s="1"/>
  <c r="AR33" i="40" s="1"/>
  <c r="AR34" i="40" s="1"/>
  <c r="M37" i="30"/>
  <c r="B41" i="41" l="1"/>
  <c r="E41" i="41" s="1"/>
  <c r="E40" i="41"/>
  <c r="F41" i="41" s="1"/>
  <c r="AS34" i="40"/>
  <c r="AT34" i="40" s="1"/>
  <c r="N37" i="30"/>
  <c r="O37" i="30" l="1"/>
  <c r="P37" i="30" l="1"/>
  <c r="Q37" i="30" l="1"/>
  <c r="S37" i="30" l="1"/>
  <c r="R37" i="30"/>
  <c r="D47" i="9" l="1"/>
  <c r="C36" i="30"/>
  <c r="S36" i="30" s="1"/>
  <c r="C35" i="30"/>
  <c r="R35" i="30" s="1"/>
  <c r="C34" i="30"/>
  <c r="C33" i="30"/>
  <c r="G33" i="30" s="1"/>
  <c r="C32" i="30"/>
  <c r="C31" i="30"/>
  <c r="C203" i="9"/>
  <c r="D97" i="9"/>
  <c r="D96" i="9"/>
  <c r="L49" i="30" l="1"/>
  <c r="D49" i="30"/>
  <c r="S49" i="30"/>
  <c r="K49" i="30"/>
  <c r="R49" i="30"/>
  <c r="J49" i="30"/>
  <c r="O49" i="30"/>
  <c r="Q49" i="30"/>
  <c r="I49" i="30"/>
  <c r="G49" i="30"/>
  <c r="P49" i="30"/>
  <c r="H49" i="30"/>
  <c r="N49" i="30"/>
  <c r="F49" i="30"/>
  <c r="M49" i="30"/>
  <c r="E49" i="30"/>
  <c r="Q31" i="30"/>
  <c r="E31" i="30"/>
  <c r="L31" i="30"/>
  <c r="O35" i="30"/>
  <c r="I35" i="30"/>
  <c r="S35" i="30"/>
  <c r="K33" i="30"/>
  <c r="J33" i="30"/>
  <c r="N33" i="30"/>
  <c r="M33" i="30"/>
  <c r="R31" i="30"/>
  <c r="I31" i="30"/>
  <c r="P31" i="30"/>
  <c r="H31" i="30"/>
  <c r="E35" i="30"/>
  <c r="G31" i="30"/>
  <c r="F32" i="30"/>
  <c r="D34" i="30"/>
  <c r="C26" i="30"/>
  <c r="H14" i="30"/>
  <c r="F14" i="30"/>
  <c r="P24" i="30"/>
  <c r="N24" i="30"/>
  <c r="H24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1" i="30"/>
  <c r="C10" i="30"/>
  <c r="C9" i="30"/>
  <c r="C8" i="30"/>
  <c r="C7" i="30"/>
  <c r="C6" i="30"/>
  <c r="C155" i="9"/>
  <c r="C49" i="30" l="1"/>
  <c r="O24" i="30"/>
  <c r="C14" i="30"/>
  <c r="K24" i="30"/>
  <c r="Q24" i="30"/>
  <c r="L24" i="30"/>
  <c r="M24" i="30"/>
  <c r="J24" i="30"/>
  <c r="D24" i="30"/>
  <c r="F24" i="30"/>
  <c r="I24" i="30"/>
  <c r="R24" i="30"/>
  <c r="E24" i="30"/>
  <c r="S24" i="30"/>
  <c r="G24" i="30"/>
  <c r="C12" i="30"/>
  <c r="C156" i="9"/>
  <c r="C118" i="9" l="1"/>
  <c r="E47" i="30" s="1"/>
  <c r="C114" i="9"/>
  <c r="D47" i="30"/>
  <c r="M47" i="30"/>
  <c r="I47" i="30"/>
  <c r="F47" i="30"/>
  <c r="Q47" i="30"/>
  <c r="N47" i="30"/>
  <c r="J47" i="30"/>
  <c r="G47" i="30"/>
  <c r="R47" i="30"/>
  <c r="O47" i="30"/>
  <c r="L47" i="30"/>
  <c r="K47" i="30"/>
  <c r="H47" i="30"/>
  <c r="S47" i="30"/>
  <c r="C24" i="30"/>
  <c r="C37" i="30"/>
  <c r="C14" i="9"/>
  <c r="D56" i="9"/>
  <c r="P47" i="30" l="1"/>
  <c r="D114" i="9"/>
  <c r="D116" i="9" s="1"/>
  <c r="D135" i="9" s="1"/>
  <c r="O45" i="30"/>
  <c r="C47" i="30"/>
  <c r="C33" i="9"/>
  <c r="C45" i="30" l="1"/>
  <c r="D119" i="9"/>
  <c r="D118" i="9"/>
  <c r="C32" i="9"/>
  <c r="C130" i="9"/>
  <c r="R52" i="30" l="1"/>
  <c r="J52" i="30"/>
  <c r="Q52" i="30"/>
  <c r="I52" i="30"/>
  <c r="P52" i="30"/>
  <c r="H52" i="30"/>
  <c r="O52" i="30"/>
  <c r="G52" i="30"/>
  <c r="N52" i="30"/>
  <c r="E52" i="30"/>
  <c r="M52" i="30"/>
  <c r="D52" i="30"/>
  <c r="L52" i="30"/>
  <c r="F52" i="30"/>
  <c r="S52" i="30"/>
  <c r="K52" i="30"/>
  <c r="D130" i="9"/>
  <c r="C37" i="9"/>
  <c r="C34" i="9"/>
  <c r="C35" i="9"/>
  <c r="D201" i="9" s="1"/>
  <c r="D45" i="9"/>
  <c r="C22" i="9"/>
  <c r="E72" i="9" l="1"/>
  <c r="G72" i="9" s="1"/>
  <c r="D86" i="9"/>
  <c r="C52" i="30"/>
  <c r="D127" i="9"/>
  <c r="D126" i="9"/>
  <c r="D196" i="9"/>
  <c r="D195" i="9"/>
  <c r="C38" i="9"/>
  <c r="D202" i="9" s="1"/>
  <c r="D203" i="9" s="1"/>
  <c r="D60" i="9"/>
  <c r="D128" i="9" l="1"/>
  <c r="D138" i="9" s="1"/>
  <c r="D54" i="9"/>
  <c r="D46" i="9"/>
  <c r="D98" i="9" l="1"/>
  <c r="D55" i="9" l="1"/>
  <c r="D92" i="9" l="1"/>
  <c r="D91" i="9"/>
  <c r="D68" i="9"/>
  <c r="D67" i="9"/>
  <c r="D63" i="9"/>
  <c r="D53" i="9"/>
  <c r="D69" i="9" l="1"/>
  <c r="C197" i="9"/>
  <c r="M48" i="30" l="1"/>
  <c r="E48" i="30"/>
  <c r="R46" i="30"/>
  <c r="R53" i="30" s="1"/>
  <c r="J46" i="30"/>
  <c r="L48" i="30"/>
  <c r="D48" i="30"/>
  <c r="Q46" i="30"/>
  <c r="I46" i="30"/>
  <c r="S48" i="30"/>
  <c r="K48" i="30"/>
  <c r="P46" i="30"/>
  <c r="P53" i="30" s="1"/>
  <c r="H46" i="30"/>
  <c r="P48" i="30"/>
  <c r="M46" i="30"/>
  <c r="R48" i="30"/>
  <c r="J48" i="30"/>
  <c r="O46" i="30"/>
  <c r="G46" i="30"/>
  <c r="H48" i="30"/>
  <c r="E46" i="30"/>
  <c r="Q48" i="30"/>
  <c r="I48" i="30"/>
  <c r="N46" i="30"/>
  <c r="F46" i="30"/>
  <c r="O48" i="30"/>
  <c r="G48" i="30"/>
  <c r="G53" i="30" s="1"/>
  <c r="L46" i="30"/>
  <c r="L53" i="30" s="1"/>
  <c r="D46" i="30"/>
  <c r="N48" i="30"/>
  <c r="F48" i="30"/>
  <c r="S46" i="30"/>
  <c r="K46" i="30"/>
  <c r="D62" i="9"/>
  <c r="D61" i="9"/>
  <c r="M53" i="30" l="1"/>
  <c r="K53" i="30"/>
  <c r="I53" i="30"/>
  <c r="F53" i="30"/>
  <c r="J53" i="30"/>
  <c r="Q53" i="30"/>
  <c r="O53" i="30"/>
  <c r="D53" i="30"/>
  <c r="S53" i="30"/>
  <c r="N53" i="30"/>
  <c r="E53" i="30"/>
  <c r="H53" i="30"/>
  <c r="C48" i="30"/>
  <c r="C46" i="30"/>
  <c r="D57" i="9"/>
  <c r="D64" i="9"/>
  <c r="E64" i="9" s="1"/>
  <c r="C53" i="30" l="1"/>
  <c r="D124" i="9"/>
  <c r="D137" i="9" s="1"/>
  <c r="D120" i="9" l="1"/>
  <c r="D197" i="9"/>
  <c r="D90" i="9"/>
  <c r="D93" i="9" l="1"/>
  <c r="D136" i="9"/>
  <c r="D99" i="9"/>
  <c r="E93" i="9" l="1"/>
  <c r="C110" i="9"/>
  <c r="D132" i="9"/>
  <c r="D139" i="9" s="1"/>
  <c r="D143" i="9" l="1"/>
  <c r="D140" i="9"/>
  <c r="C24" i="9"/>
  <c r="C29" i="9" s="1"/>
  <c r="D87" i="9" l="1"/>
  <c r="E87" i="9" l="1"/>
  <c r="D106" i="9"/>
  <c r="C41" i="30" s="1"/>
  <c r="D104" i="9"/>
  <c r="D110" i="9"/>
  <c r="C39" i="30"/>
  <c r="C40" i="30" l="1"/>
  <c r="E40" i="30" s="1"/>
  <c r="R39" i="30"/>
  <c r="H39" i="30"/>
  <c r="J39" i="30"/>
  <c r="N39" i="30"/>
  <c r="G39" i="30"/>
  <c r="P39" i="30"/>
  <c r="O39" i="30"/>
  <c r="M39" i="30"/>
  <c r="Q39" i="30"/>
  <c r="E39" i="30"/>
  <c r="F39" i="30"/>
  <c r="S39" i="30"/>
  <c r="L39" i="30"/>
  <c r="K39" i="30"/>
  <c r="D39" i="30"/>
  <c r="I39" i="30"/>
  <c r="K41" i="30"/>
  <c r="O41" i="30"/>
  <c r="J41" i="30"/>
  <c r="M41" i="30"/>
  <c r="Q41" i="30"/>
  <c r="L41" i="30"/>
  <c r="D41" i="30"/>
  <c r="H41" i="30"/>
  <c r="R41" i="30"/>
  <c r="G41" i="30"/>
  <c r="N41" i="30"/>
  <c r="F41" i="30"/>
  <c r="E41" i="30"/>
  <c r="I41" i="30"/>
  <c r="P41" i="30"/>
  <c r="S41" i="30"/>
  <c r="D108" i="9"/>
  <c r="D147" i="9" l="1"/>
  <c r="D145" i="9"/>
  <c r="D146" i="9" s="1"/>
  <c r="E42" i="30"/>
  <c r="E55" i="30" s="1"/>
  <c r="E56" i="30" s="1"/>
  <c r="H40" i="30"/>
  <c r="H42" i="30" s="1"/>
  <c r="H55" i="30" s="1"/>
  <c r="H56" i="30" s="1"/>
  <c r="S40" i="30"/>
  <c r="S42" i="30" s="1"/>
  <c r="S55" i="30" s="1"/>
  <c r="S56" i="30" s="1"/>
  <c r="D40" i="30"/>
  <c r="D42" i="30" s="1"/>
  <c r="Q40" i="30"/>
  <c r="Q42" i="30" s="1"/>
  <c r="Q55" i="30" s="1"/>
  <c r="Q56" i="30" s="1"/>
  <c r="G40" i="30"/>
  <c r="G42" i="30" s="1"/>
  <c r="G55" i="30" s="1"/>
  <c r="G56" i="30" s="1"/>
  <c r="I40" i="30"/>
  <c r="I42" i="30" s="1"/>
  <c r="I55" i="30" s="1"/>
  <c r="I56" i="30" s="1"/>
  <c r="M40" i="30"/>
  <c r="M42" i="30" s="1"/>
  <c r="M55" i="30" s="1"/>
  <c r="M56" i="30" s="1"/>
  <c r="O40" i="30"/>
  <c r="O42" i="30" s="1"/>
  <c r="O55" i="30" s="1"/>
  <c r="O56" i="30" s="1"/>
  <c r="N40" i="30"/>
  <c r="N42" i="30" s="1"/>
  <c r="N55" i="30" s="1"/>
  <c r="N56" i="30" s="1"/>
  <c r="J40" i="30"/>
  <c r="J42" i="30" s="1"/>
  <c r="J55" i="30" s="1"/>
  <c r="J56" i="30" s="1"/>
  <c r="K40" i="30"/>
  <c r="K42" i="30" s="1"/>
  <c r="K55" i="30" s="1"/>
  <c r="K56" i="30" s="1"/>
  <c r="R40" i="30"/>
  <c r="R42" i="30" s="1"/>
  <c r="R55" i="30" s="1"/>
  <c r="R56" i="30" s="1"/>
  <c r="P40" i="30"/>
  <c r="P42" i="30" s="1"/>
  <c r="P55" i="30" s="1"/>
  <c r="P56" i="30" s="1"/>
  <c r="L40" i="30"/>
  <c r="L42" i="30" s="1"/>
  <c r="L55" i="30" s="1"/>
  <c r="L56" i="30" s="1"/>
  <c r="F40" i="30"/>
  <c r="F42" i="30" s="1"/>
  <c r="F55" i="30" s="1"/>
  <c r="F56" i="30" s="1"/>
  <c r="D55" i="30" l="1"/>
  <c r="C55" i="30" s="1"/>
  <c r="C56" i="30" s="1"/>
  <c r="C42" i="30"/>
  <c r="D56" i="30" l="1"/>
  <c r="W4" i="35" l="1"/>
  <c r="X4" i="35" s="1"/>
  <c r="Y4" i="35" l="1"/>
  <c r="L15" i="35" l="1"/>
  <c r="N15" i="35" l="1"/>
  <c r="N18" i="35" s="1"/>
  <c r="L18" i="35"/>
  <c r="W15" i="35" l="1"/>
  <c r="W18" i="35" l="1"/>
  <c r="X15" i="35"/>
  <c r="Y15" i="35" s="1"/>
  <c r="X18" i="35" l="1"/>
</calcChain>
</file>

<file path=xl/sharedStrings.xml><?xml version="1.0" encoding="utf-8"?>
<sst xmlns="http://schemas.openxmlformats.org/spreadsheetml/2006/main" count="442" uniqueCount="340">
  <si>
    <t>Time schedule [see also separate tab]</t>
  </si>
  <si>
    <t>2026-2027</t>
  </si>
  <si>
    <t>2026-2028</t>
  </si>
  <si>
    <t>2029-2030</t>
  </si>
  <si>
    <t>Project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</si>
  <si>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</si>
  <si>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</si>
  <si>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</si>
  <si>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</si>
  <si>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</si>
  <si>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</si>
  <si>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</si>
  <si>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</si>
  <si>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</si>
  <si>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Nursing home</t>
  </si>
  <si>
    <t>Gross Floor Area</t>
  </si>
  <si>
    <t>total</t>
  </si>
  <si>
    <t>Sjöängen</t>
  </si>
  <si>
    <t>Torgkv. C</t>
  </si>
  <si>
    <t>Torgkv. D</t>
  </si>
  <si>
    <t>Torgkv. E</t>
  </si>
  <si>
    <t>Torgkv. A</t>
  </si>
  <si>
    <t>Torgkv. B</t>
  </si>
  <si>
    <t>Trädg.kv. 4</t>
  </si>
  <si>
    <t>Trädg.kv. 5</t>
  </si>
  <si>
    <t>Gårdskv.</t>
  </si>
  <si>
    <t>Trädg.kv 6</t>
  </si>
  <si>
    <t>Skogshus</t>
  </si>
  <si>
    <t>Gårdskärnan</t>
  </si>
  <si>
    <t>Torgkv. F</t>
  </si>
  <si>
    <t>Torgkv. G</t>
  </si>
  <si>
    <t>Torgkv. H</t>
  </si>
  <si>
    <t>Gross Floor Area, co-op apartments</t>
  </si>
  <si>
    <t>Gross Floor Area, rental apartments</t>
  </si>
  <si>
    <t>Gross Floor Area, row houses</t>
  </si>
  <si>
    <t>Gross Floor Area, villas</t>
  </si>
  <si>
    <t>Gross Floor Area, commercial space</t>
  </si>
  <si>
    <t>Gross Floor Area, nursing home</t>
  </si>
  <si>
    <t>Gross Floor Area, total</t>
  </si>
  <si>
    <t>Gross Floor Area below ground, parking garage</t>
  </si>
  <si>
    <t>Net Area (sellable / lettable) area</t>
  </si>
  <si>
    <r>
      <t xml:space="preserve">Net lettable area,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</si>
  <si>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Net sellable area, co-op apartments</t>
  </si>
  <si>
    <t>Net lettable area, rental apartments</t>
  </si>
  <si>
    <t>Net sellable area, row houses</t>
  </si>
  <si>
    <t>Net sellable area, villas</t>
  </si>
  <si>
    <t>Net lettable area, commercial space</t>
  </si>
  <si>
    <t>Net lettable area, nursing home</t>
  </si>
  <si>
    <t>Net sellable &amp; lettable area, total</t>
  </si>
  <si>
    <t>Phase % share of total project</t>
  </si>
  <si>
    <t>Land purchase</t>
  </si>
  <si>
    <t>Land purchase private property, Hallunda 4:20</t>
  </si>
  <si>
    <t>Land purchase municipal property, Hallunda 4:34</t>
  </si>
  <si>
    <t>Land purchase price, co-op apartments</t>
  </si>
  <si>
    <t>Land purchase price, rental apartments</t>
  </si>
  <si>
    <t>Land purchase price, row houses</t>
  </si>
  <si>
    <t>Land purchase price, villas</t>
  </si>
  <si>
    <t>Land purchase price, commercial space</t>
  </si>
  <si>
    <t>Land purchase price, nursing home</t>
  </si>
  <si>
    <t>Land purchase, total</t>
  </si>
  <si>
    <t>Construction</t>
  </si>
  <si>
    <t>Add on for project overhead costs (approx. 16%)</t>
  </si>
  <si>
    <t>VAT (25%)</t>
  </si>
  <si>
    <t>Total Costs</t>
  </si>
  <si>
    <t>Revenues</t>
  </si>
  <si>
    <r>
      <t xml:space="preserve">Market value,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</si>
  <si>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Total revenues incl. co-op loan, co-op apartments</t>
  </si>
  <si>
    <t>Market value, rental apartments</t>
  </si>
  <si>
    <t>Total revenues incl. co-op loan, row houses</t>
  </si>
  <si>
    <t>Total revenues, villas</t>
  </si>
  <si>
    <t>Market value, commercial space</t>
  </si>
  <si>
    <t>Market value, nursing home</t>
  </si>
  <si>
    <t>Market value, parking garage</t>
  </si>
  <si>
    <t>Total Revenues</t>
  </si>
  <si>
    <t>Profit</t>
  </si>
  <si>
    <t>Profit margin (%)</t>
  </si>
  <si>
    <t>PROJECT INFORMATION</t>
  </si>
  <si>
    <t>Project name</t>
  </si>
  <si>
    <t>Hallunda Gård</t>
  </si>
  <si>
    <t>Property Unit Designation</t>
  </si>
  <si>
    <t>Hallunda 4:20, Hallunda 4:34</t>
  </si>
  <si>
    <t>Municipality</t>
  </si>
  <si>
    <t>Botkyrka</t>
  </si>
  <si>
    <t>Street address</t>
  </si>
  <si>
    <t>Tomtbergavägen, Hallunda gårdsväg</t>
  </si>
  <si>
    <t>Property owner</t>
  </si>
  <si>
    <t>Botkyrka municipality</t>
  </si>
  <si>
    <t>Site leaseholder</t>
  </si>
  <si>
    <t>N/A</t>
  </si>
  <si>
    <t>Zoning status</t>
  </si>
  <si>
    <t>Approved 2023-09-28 (Appealed)</t>
  </si>
  <si>
    <t>% share of total project</t>
  </si>
  <si>
    <t>Areas</t>
  </si>
  <si>
    <t>Land area</t>
  </si>
  <si>
    <t>Gross floor area, co-op apartments</t>
  </si>
  <si>
    <t>Gross floor area, rental apartments</t>
  </si>
  <si>
    <t>Gross floor area, row houses</t>
  </si>
  <si>
    <t>Gross floor area, villas</t>
  </si>
  <si>
    <t>Gross floor area, commercial space</t>
  </si>
  <si>
    <t>Gross floor area, nursing home</t>
  </si>
  <si>
    <t>Total gross floor area above ground</t>
  </si>
  <si>
    <t>Gross floor area below ground (parking garage, storage, etc)</t>
  </si>
  <si>
    <t xml:space="preserve">Total gross floor area </t>
  </si>
  <si>
    <t>Bldg. efficiency ratio, co-op and rental apartments and nursing home</t>
  </si>
  <si>
    <t>Bldg. efficiency ratio, row houses and villas</t>
  </si>
  <si>
    <t>Bldg. efficiency ratio, commercial space</t>
  </si>
  <si>
    <t>Bldg. efficiency ratio, total</t>
  </si>
  <si>
    <t>Total net sellable &amp; lettable area</t>
  </si>
  <si>
    <t>PROJECT COSTS</t>
  </si>
  <si>
    <t>TOTAL</t>
  </si>
  <si>
    <t>Land purchase:</t>
  </si>
  <si>
    <t>Land purchase, co-op and rental apartments, row houses and villas</t>
  </si>
  <si>
    <t>Land purchase, commercial space</t>
  </si>
  <si>
    <t>Land purchase, nursing home</t>
  </si>
  <si>
    <t>Stamp duty, registration (1,5%)</t>
  </si>
  <si>
    <t>Stamp duty, mortgage (2%)</t>
  </si>
  <si>
    <t>Fees to authorities:</t>
  </si>
  <si>
    <t>Property reallotment fees</t>
  </si>
  <si>
    <t>Zoning fee</t>
  </si>
  <si>
    <t>Building permit fee</t>
  </si>
  <si>
    <t>Construction costs for public space and roads</t>
  </si>
  <si>
    <t>Fees to authorities, total</t>
  </si>
  <si>
    <t>Project planning, consultants' costs:</t>
  </si>
  <si>
    <t>Zoning phase</t>
  </si>
  <si>
    <t>Conceptual design</t>
  </si>
  <si>
    <t>Detailed design</t>
  </si>
  <si>
    <t>Construction drawings (included in contractor's work)</t>
  </si>
  <si>
    <t>Incl. VAT</t>
  </si>
  <si>
    <t>Project planning, consultants' costs, total</t>
  </si>
  <si>
    <t>Project management / Construction management:</t>
  </si>
  <si>
    <t>Internal staff</t>
  </si>
  <si>
    <t>External consultants</t>
  </si>
  <si>
    <t>Project management / Construction management, total</t>
  </si>
  <si>
    <t>Construction:</t>
  </si>
  <si>
    <t>Construction, total</t>
  </si>
  <si>
    <t>Connection fees:</t>
  </si>
  <si>
    <t>Water and sewage</t>
  </si>
  <si>
    <t>Heating</t>
  </si>
  <si>
    <t>Electricity</t>
  </si>
  <si>
    <t>Connection fees, total</t>
  </si>
  <si>
    <t>Sales, marketing, guarantees (applicable to co-op apartments only):</t>
  </si>
  <si>
    <t>Broker fee</t>
  </si>
  <si>
    <t>Marketing</t>
  </si>
  <si>
    <t>Advance payment guarantee</t>
  </si>
  <si>
    <t>Sales, marketing, guarantees, total</t>
  </si>
  <si>
    <t>Cost of capital</t>
  </si>
  <si>
    <t>TOTALT, excl. VAT</t>
  </si>
  <si>
    <t xml:space="preserve">VAT </t>
  </si>
  <si>
    <t>TOTALT, incl. VAT</t>
  </si>
  <si>
    <t>Project overhad costs (except from land purchase and construction)</t>
  </si>
  <si>
    <t>MARKET VALUE: RENTAL APARTMENTS, COMMERCIAL SPACE, NURSING HOME AND PARKING</t>
  </si>
  <si>
    <t>Converter: Base rent =&gt; Project average rent</t>
  </si>
  <si>
    <r>
      <t xml:space="preserve">Annual rent revenues, </t>
    </r>
    <r>
      <rPr>
        <u/>
        <sz val="10"/>
        <color theme="1"/>
        <rFont val="Arial"/>
        <family val="2"/>
      </rPr>
      <t>exisitng</t>
    </r>
    <r>
      <rPr>
        <sz val="10"/>
        <color theme="1"/>
        <rFont val="Arial"/>
        <family val="2"/>
      </rPr>
      <t xml:space="preserve"> rental apartments (vacancy 2%)</t>
    </r>
  </si>
  <si>
    <t>Base rent ("Normhyra")</t>
  </si>
  <si>
    <r>
      <t xml:space="preserve">Operating expenses,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</si>
  <si>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Average apartment size (sqm)</t>
  </si>
  <si>
    <r>
      <t xml:space="preserve">Net revenues,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</si>
  <si>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Average no. of rooms per apartment</t>
  </si>
  <si>
    <t>Apartment Score</t>
  </si>
  <si>
    <t>Annual rent revenues, rental apartments (vacancy 2%)</t>
  </si>
  <si>
    <t>Project average rent</t>
  </si>
  <si>
    <t>Operating expenses, rental apartments</t>
  </si>
  <si>
    <t>Net revenues, rental apartments</t>
  </si>
  <si>
    <t>Annual rent revenues, commercial space (vacancy 5%)</t>
  </si>
  <si>
    <t>Operating expenses, commercial space</t>
  </si>
  <si>
    <t>Net revenus, commercial space</t>
  </si>
  <si>
    <t>Annual rent revenues, nursing home (vacancy 0%)</t>
  </si>
  <si>
    <t>Operating expenses, nursing home</t>
  </si>
  <si>
    <t>Net revenus, nursing home</t>
  </si>
  <si>
    <t>Annual rent revenues, parking, excl. VAT (vacancy 0%)</t>
  </si>
  <si>
    <t>Operating expenses, parking</t>
  </si>
  <si>
    <t>Net revenues, parking</t>
  </si>
  <si>
    <t>Yield and market value</t>
  </si>
  <si>
    <t>Yield</t>
  </si>
  <si>
    <t>Market value</t>
  </si>
  <si>
    <r>
      <t xml:space="preserve">Yield and market value, </t>
    </r>
    <r>
      <rPr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rental apartments</t>
    </r>
  </si>
  <si>
    <t>Yield and market value, rental apartments</t>
  </si>
  <si>
    <t>Yield and market value, commercial space</t>
  </si>
  <si>
    <t>Yield and market value, nursing home</t>
  </si>
  <si>
    <t>Yield and market value, parking</t>
  </si>
  <si>
    <t>TOTAL MARKET VALUE</t>
  </si>
  <si>
    <t>TOTAL REVENUES</t>
  </si>
  <si>
    <t>Yield on Cost</t>
  </si>
  <si>
    <t>REVENUE CO-OP APARTMENTS AND ROW HOUSES</t>
  </si>
  <si>
    <t>Selling price (kr/sqm)</t>
  </si>
  <si>
    <t>Housing co-operative loan (kr/sqm)</t>
  </si>
  <si>
    <t>Total revenues (kr/sqm)</t>
  </si>
  <si>
    <t>REVENUE VILLAS</t>
  </si>
  <si>
    <t>GFA</t>
  </si>
  <si>
    <t>Phase % of total GFA</t>
  </si>
  <si>
    <t>NFA/GFA %</t>
  </si>
  <si>
    <t>NFA</t>
  </si>
  <si>
    <t>VAT %</t>
  </si>
  <si>
    <t>Total production cost (incl contingencies &amp; VAT)</t>
  </si>
  <si>
    <t>Rent / NFA</t>
  </si>
  <si>
    <t>Operating expenses / NFA</t>
  </si>
  <si>
    <t>Vacancy %</t>
  </si>
  <si>
    <t>Net revenues</t>
  </si>
  <si>
    <t>Yield %</t>
  </si>
  <si>
    <t>LTV</t>
  </si>
  <si>
    <t>Final placement loan</t>
  </si>
  <si>
    <t>Remaining contribution equity</t>
  </si>
  <si>
    <t>Remaining contribution equity %</t>
  </si>
  <si>
    <t>Total</t>
  </si>
  <si>
    <t>Avg. sqm/unit</t>
  </si>
  <si>
    <t>Production cost / GFA standard units</t>
  </si>
  <si>
    <t>Total production cost standard units</t>
  </si>
  <si>
    <t>[All amounts in Swedish krona, SEK]</t>
  </si>
  <si>
    <t>Construction costs underground works and landscaping</t>
  </si>
  <si>
    <t xml:space="preserve">Incl. 5% contingencies </t>
  </si>
  <si>
    <t>Incl 5% cont. And 25% VAT</t>
  </si>
  <si>
    <t>Contingencies (only applied to underground works and landscaping)</t>
  </si>
  <si>
    <t>Construction contractor: Phase 1: Sjöängen (27 villas)</t>
  </si>
  <si>
    <t>Construction contractor: Phase 2: Nursing home</t>
  </si>
  <si>
    <t>Construction contractor: Phase 3: Torgkvarter A, B (apt.bldg.)</t>
  </si>
  <si>
    <t>Construction contractor: Phase 4: Trädgårdskvarter S+M (27 row houses)</t>
  </si>
  <si>
    <t>Construction contractor: Phase 5: Gårdskvarteren (apt.bldg.)</t>
  </si>
  <si>
    <t>Construction contractor: Phase 6: Gårdskärnan (Restaurant + Green house)</t>
  </si>
  <si>
    <t>Construction contractor: Phase 7: Trädgårdskvarter N (25 row houses)</t>
  </si>
  <si>
    <t>Construction contractor: Phase 8: Skogshusen (13 row houses)</t>
  </si>
  <si>
    <t>Construction contractor: Phase 9: Torgkvarter F, G, H (apt.bldg.)</t>
  </si>
  <si>
    <t>Construction contractor: Phase 10: Torgkvarter C, D, E (apt.bldg.)</t>
  </si>
  <si>
    <t>Construction contractor: Phase 11: Garage under Torgkvarter C, D, E</t>
  </si>
  <si>
    <t>Construction contractor: Phase 12: Existing buidlings (renovation)</t>
  </si>
  <si>
    <t>Construction contractor: Phase 13: Existing buildings (conversion+'Attefallshus')</t>
  </si>
  <si>
    <t>Residential units</t>
  </si>
  <si>
    <t>Tingshuset</t>
  </si>
  <si>
    <t xml:space="preserve">Land purchase cost </t>
  </si>
  <si>
    <t>RENT</t>
  </si>
  <si>
    <t>KR/SQM</t>
  </si>
  <si>
    <t>Object</t>
  </si>
  <si>
    <t>Norm Rent (kr/sqm)</t>
  </si>
  <si>
    <t>Huddinge</t>
  </si>
  <si>
    <t>Garage (kr/month/spot)</t>
  </si>
  <si>
    <t>Property type</t>
  </si>
  <si>
    <t>Tenant housing</t>
  </si>
  <si>
    <t>Ground parking (kr/month/spot)</t>
  </si>
  <si>
    <t>Status Zoning plan</t>
  </si>
  <si>
    <t>LKDP</t>
  </si>
  <si>
    <t>Average rent residential (kr/sqm)</t>
  </si>
  <si>
    <t>Status Building permit</t>
  </si>
  <si>
    <t>-</t>
  </si>
  <si>
    <t>Average rent/norm rent</t>
  </si>
  <si>
    <t>Construction start</t>
  </si>
  <si>
    <t>2024</t>
  </si>
  <si>
    <t>Completion</t>
  </si>
  <si>
    <t>2026/2027</t>
  </si>
  <si>
    <t>LETTABLE AREA, SQM</t>
  </si>
  <si>
    <t>Average size, apt</t>
  </si>
  <si>
    <t>Average rooms</t>
  </si>
  <si>
    <t>Qty apts</t>
  </si>
  <si>
    <t>Qty rooms</t>
  </si>
  <si>
    <t>GARAGE, GFA</t>
  </si>
  <si>
    <t>NFA/GFA</t>
  </si>
  <si>
    <t>APARTMENT LIST</t>
  </si>
  <si>
    <t>RESIDENTAL</t>
  </si>
  <si>
    <t>PARKING</t>
  </si>
  <si>
    <t>Qty apt</t>
  </si>
  <si>
    <t>Apt number</t>
  </si>
  <si>
    <t>Number of rooms</t>
  </si>
  <si>
    <t>Sqm</t>
  </si>
  <si>
    <t>Relative number</t>
  </si>
  <si>
    <t>Rent/sqm</t>
  </si>
  <si>
    <t>Rent/month</t>
  </si>
  <si>
    <t>Annual rent (kr)</t>
  </si>
  <si>
    <t>Rent/year</t>
  </si>
  <si>
    <t>ROK</t>
  </si>
  <si>
    <t>Share</t>
  </si>
  <si>
    <t>Supplements (kr/sqm)</t>
  </si>
  <si>
    <t>Average rent residential incl. Suppl. (kr/sqm)</t>
  </si>
  <si>
    <t>SUPPLEMENTS</t>
  </si>
  <si>
    <t>Annual (kr)</t>
  </si>
  <si>
    <t>2025</t>
  </si>
  <si>
    <t>2028</t>
  </si>
  <si>
    <t>Rent/Unit</t>
  </si>
  <si>
    <t>COMMERCIAL</t>
  </si>
  <si>
    <t>number</t>
  </si>
  <si>
    <t xml:space="preserve">Qty </t>
  </si>
  <si>
    <t>Rent Commercial (kr/sqm)</t>
  </si>
  <si>
    <t>NFA - Resi</t>
  </si>
  <si>
    <t>NFA - commercial</t>
  </si>
  <si>
    <t>NFA Total</t>
  </si>
  <si>
    <t>GFA - Resi</t>
  </si>
  <si>
    <t>GFA - Commercial</t>
  </si>
  <si>
    <t>GFA Total</t>
  </si>
  <si>
    <t>Resedential</t>
  </si>
  <si>
    <t>Commercial</t>
  </si>
  <si>
    <t>Garage</t>
  </si>
  <si>
    <t>Outdoor parking</t>
  </si>
  <si>
    <t xml:space="preserve">  Rent</t>
  </si>
  <si>
    <t xml:space="preserve">  Operating expenses</t>
  </si>
  <si>
    <t>Share of totalt cost</t>
  </si>
  <si>
    <t>Period</t>
  </si>
  <si>
    <t>Januari</t>
  </si>
  <si>
    <t>Februari</t>
  </si>
  <si>
    <t>Mars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</si>
  <si>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</si>
  <si>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</si>
  <si>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</si>
  <si>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</si>
  <si>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</si>
  <si>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</si>
  <si>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</si>
  <si>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</si>
  <si>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</si>
  <si>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Heat</t>
  </si>
  <si>
    <t>Water</t>
  </si>
  <si>
    <t>Waste</t>
  </si>
  <si>
    <t>Property maintainance</t>
  </si>
  <si>
    <t>Outdoor maintenance</t>
  </si>
  <si>
    <t>Snow removal</t>
  </si>
  <si>
    <t>Service agreement</t>
  </si>
  <si>
    <t>Cleaning</t>
  </si>
  <si>
    <t>Regulatory requirements</t>
  </si>
  <si>
    <t>Maintainance</t>
  </si>
  <si>
    <t>Property tax</t>
  </si>
  <si>
    <t>Insurance</t>
  </si>
  <si>
    <t>Residential</t>
  </si>
  <si>
    <t>Outdoor Parking</t>
  </si>
  <si>
    <t>SEK/sqm</t>
  </si>
  <si>
    <t>NOI</t>
  </si>
  <si>
    <t xml:space="preserve">  Financial costs</t>
  </si>
  <si>
    <t>Interest</t>
  </si>
  <si>
    <t>Amortization</t>
  </si>
  <si>
    <t>Property Value</t>
  </si>
  <si>
    <t>Loan amount</t>
  </si>
  <si>
    <t xml:space="preserve">Garage </t>
  </si>
  <si>
    <t>Lån</t>
  </si>
  <si>
    <t>Amort</t>
  </si>
  <si>
    <t>Ränta</t>
  </si>
  <si>
    <t>Per år</t>
  </si>
  <si>
    <t>Upfront fee</t>
  </si>
  <si>
    <t>NOI after finacial costs</t>
  </si>
  <si>
    <t>Accumulated cash reserves</t>
  </si>
  <si>
    <t>Tinghuset NOI year 1</t>
  </si>
  <si>
    <t>Tinghuset NOI year 2</t>
  </si>
  <si>
    <t>Tinghuset NOI year 3</t>
  </si>
  <si>
    <t>Tinghuset NOI year 4</t>
  </si>
  <si>
    <r>
      <t xml:space="preserve">Interest rate, </t>
    </r>
    <r>
      <rPr>
        <b/>
        <i/>
        <sz val="10"/>
        <color theme="1"/>
        <rFont val="Calibri"/>
        <family val="2"/>
        <scheme val="minor"/>
      </rPr>
      <t>STIBOR 3m + 150 basis points</t>
    </r>
  </si>
  <si>
    <t>Total yearly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</si>
</sst>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%"/>
    <numFmt numFmtId="165" formatCode="##,###&quot; m²&quot;"/>
    <numFmt numFmtId="166" formatCode="##,###&quot; kr/m² BOA&quot;"/>
    <numFmt numFmtId="167" formatCode="#,##0&quot; kr&quot;"/>
    <numFmt numFmtId="168" formatCode="##,###&quot; kr/m² Ljus BTA&quot;"/>
    <numFmt numFmtId="169" formatCode="#,##0.0"/>
    <numFmt numFmtId="170" formatCode="0.000000000"/>
    <numFmt numFmtId="171" formatCode="##,###&quot; kr/m²&quot;"/>
    <numFmt numFmtId="172" formatCode="##,###&quot; kr/parking&quot;"/>
    <numFmt numFmtId="173" formatCode="#,##0;\-#,##0;\-"/>
    <numFmt numFmtId="174" formatCode="_-* #,##0_-;\-* #,##0_-;_-* &quot;-&quot;??_-;_-@_-"/>
    <numFmt numFmtId="175" formatCode="_-* #,##0\ &quot;kr&quot;_-;\-* #,##0\ &quot;kr&quot;_-;_-* &quot;-&quot;??\ &quot;kr&quot;_-;_-@_-"/>
  </numFmts>
  <fonts count="4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Georgia"/>
      <family val="1"/>
    </font>
    <font>
      <sz val="8"/>
      <color theme="1"/>
      <name val="Garamond"/>
      <family val="1"/>
    </font>
    <font>
      <b/>
      <sz val="8"/>
      <color theme="0"/>
      <name val="Garamond"/>
      <family val="1"/>
    </font>
    <font>
      <sz val="8"/>
      <name val="Garamond"/>
      <family val="1"/>
    </font>
    <font>
      <b/>
      <sz val="8"/>
      <color theme="1"/>
      <name val="Georgia"/>
      <family val="1"/>
    </font>
    <font>
      <sz val="8"/>
      <color rgb="FFFF0000"/>
      <name val="Garamond"/>
      <family val="1"/>
    </font>
    <font>
      <b/>
      <sz val="8"/>
      <color theme="1"/>
      <name val="Garamond"/>
      <family val="1"/>
    </font>
    <font>
      <b/>
      <u val="singleAccounting"/>
      <sz val="8"/>
      <color theme="1"/>
      <name val="Georgia"/>
      <family val="1"/>
    </font>
    <font>
      <sz val="8"/>
      <name val="Arial"/>
      <family val="2"/>
    </font>
    <font>
      <u val="singleAccounting"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4" fillId="0" borderId="0" applyFill="0" applyBorder="0">
      <alignment horizontal="centerContinuous" vertical="center"/>
    </xf>
  </cellStyleXfs>
  <cellXfs count="409">
    <xf numFmtId="0" fontId="0" fillId="0" borderId="0" xfId="0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165" fontId="11" fillId="3" borderId="9" xfId="0" applyNumberFormat="1" applyFont="1" applyFill="1" applyBorder="1"/>
    <xf numFmtId="0" fontId="0" fillId="0" borderId="11" xfId="0" applyBorder="1"/>
    <xf numFmtId="9" fontId="12" fillId="0" borderId="11" xfId="0" applyNumberFormat="1" applyFont="1" applyBorder="1"/>
    <xf numFmtId="165" fontId="13" fillId="0" borderId="8" xfId="0" applyNumberFormat="1" applyFont="1" applyBorder="1"/>
    <xf numFmtId="0" fontId="14" fillId="0" borderId="0" xfId="0" applyFont="1"/>
    <xf numFmtId="0" fontId="0" fillId="0" borderId="12" xfId="0" applyBorder="1"/>
    <xf numFmtId="165" fontId="11" fillId="3" borderId="11" xfId="0" applyNumberFormat="1" applyFont="1" applyFill="1" applyBorder="1"/>
    <xf numFmtId="0" fontId="0" fillId="0" borderId="16" xfId="0" applyBorder="1"/>
    <xf numFmtId="0" fontId="8" fillId="0" borderId="20" xfId="0" applyFont="1" applyBorder="1"/>
    <xf numFmtId="0" fontId="0" fillId="0" borderId="22" xfId="0" applyBorder="1"/>
    <xf numFmtId="0" fontId="8" fillId="2" borderId="16" xfId="0" applyFont="1" applyFill="1" applyBorder="1" applyAlignment="1">
      <alignment horizontal="center"/>
    </xf>
    <xf numFmtId="167" fontId="0" fillId="2" borderId="23" xfId="0" applyNumberFormat="1" applyFill="1" applyBorder="1"/>
    <xf numFmtId="167" fontId="0" fillId="2" borderId="14" xfId="0" applyNumberFormat="1" applyFill="1" applyBorder="1"/>
    <xf numFmtId="167" fontId="8" fillId="2" borderId="13" xfId="0" applyNumberFormat="1" applyFont="1" applyFill="1" applyBorder="1"/>
    <xf numFmtId="0" fontId="0" fillId="0" borderId="24" xfId="0" applyBorder="1"/>
    <xf numFmtId="166" fontId="8" fillId="0" borderId="18" xfId="0" applyNumberFormat="1" applyFont="1" applyBorder="1"/>
    <xf numFmtId="167" fontId="0" fillId="2" borderId="12" xfId="0" applyNumberFormat="1" applyFill="1" applyBorder="1"/>
    <xf numFmtId="0" fontId="8" fillId="0" borderId="24" xfId="0" applyFont="1" applyBorder="1"/>
    <xf numFmtId="168" fontId="11" fillId="3" borderId="17" xfId="0" applyNumberFormat="1" applyFont="1" applyFill="1" applyBorder="1"/>
    <xf numFmtId="10" fontId="11" fillId="3" borderId="17" xfId="4" applyNumberFormat="1" applyFont="1" applyFill="1" applyBorder="1"/>
    <xf numFmtId="167" fontId="11" fillId="3" borderId="17" xfId="0" applyNumberFormat="1" applyFont="1" applyFill="1" applyBorder="1"/>
    <xf numFmtId="9" fontId="11" fillId="3" borderId="17" xfId="0" applyNumberFormat="1" applyFont="1" applyFill="1" applyBorder="1"/>
    <xf numFmtId="9" fontId="11" fillId="3" borderId="15" xfId="0" applyNumberFormat="1" applyFont="1" applyFill="1" applyBorder="1"/>
    <xf numFmtId="0" fontId="0" fillId="0" borderId="17" xfId="0" applyBorder="1"/>
    <xf numFmtId="165" fontId="13" fillId="0" borderId="11" xfId="0" applyNumberFormat="1" applyFont="1" applyBorder="1"/>
    <xf numFmtId="0" fontId="8" fillId="0" borderId="5" xfId="0" applyFont="1" applyBorder="1"/>
    <xf numFmtId="167" fontId="8" fillId="2" borderId="12" xfId="0" applyNumberFormat="1" applyFont="1" applyFill="1" applyBorder="1"/>
    <xf numFmtId="0" fontId="8" fillId="0" borderId="16" xfId="0" applyFont="1" applyBorder="1"/>
    <xf numFmtId="3" fontId="0" fillId="0" borderId="17" xfId="0" applyNumberFormat="1" applyBorder="1"/>
    <xf numFmtId="0" fontId="16" fillId="0" borderId="4" xfId="5" applyBorder="1"/>
    <xf numFmtId="0" fontId="11" fillId="3" borderId="17" xfId="4" applyNumberFormat="1" applyFont="1" applyFill="1" applyBorder="1"/>
    <xf numFmtId="0" fontId="0" fillId="2" borderId="12" xfId="0" applyFill="1" applyBorder="1"/>
    <xf numFmtId="0" fontId="11" fillId="3" borderId="17" xfId="0" applyFont="1" applyFill="1" applyBorder="1"/>
    <xf numFmtId="10" fontId="11" fillId="3" borderId="15" xfId="4" applyNumberFormat="1" applyFont="1" applyFill="1" applyBorder="1"/>
    <xf numFmtId="167" fontId="11" fillId="3" borderId="15" xfId="0" applyNumberFormat="1" applyFont="1" applyFill="1" applyBorder="1"/>
    <xf numFmtId="0" fontId="17" fillId="0" borderId="4" xfId="0" applyFont="1" applyBorder="1"/>
    <xf numFmtId="167" fontId="0" fillId="0" borderId="0" xfId="0" applyNumberFormat="1"/>
    <xf numFmtId="10" fontId="11" fillId="3" borderId="17" xfId="0" applyNumberFormat="1" applyFont="1" applyFill="1" applyBorder="1"/>
    <xf numFmtId="3" fontId="0" fillId="0" borderId="0" xfId="0" applyNumberFormat="1"/>
    <xf numFmtId="0" fontId="8" fillId="3" borderId="15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0" fillId="3" borderId="17" xfId="0" applyFill="1" applyBorder="1"/>
    <xf numFmtId="170" fontId="0" fillId="0" borderId="4" xfId="0" applyNumberFormat="1" applyBorder="1"/>
    <xf numFmtId="3" fontId="0" fillId="4" borderId="13" xfId="0" applyNumberFormat="1" applyFill="1" applyBorder="1"/>
    <xf numFmtId="165" fontId="12" fillId="0" borderId="11" xfId="0" applyNumberFormat="1" applyFont="1" applyBorder="1"/>
    <xf numFmtId="9" fontId="11" fillId="3" borderId="11" xfId="0" applyNumberFormat="1" applyFont="1" applyFill="1" applyBorder="1"/>
    <xf numFmtId="0" fontId="0" fillId="2" borderId="8" xfId="0" applyFill="1" applyBorder="1" applyAlignment="1">
      <alignment horizontal="center"/>
    </xf>
    <xf numFmtId="0" fontId="11" fillId="3" borderId="11" xfId="0" applyFont="1" applyFill="1" applyBorder="1" applyAlignment="1">
      <alignment horizontal="left"/>
    </xf>
    <xf numFmtId="165" fontId="0" fillId="0" borderId="0" xfId="0" applyNumberFormat="1"/>
    <xf numFmtId="171" fontId="11" fillId="3" borderId="17" xfId="0" applyNumberFormat="1" applyFont="1" applyFill="1" applyBorder="1"/>
    <xf numFmtId="171" fontId="11" fillId="3" borderId="15" xfId="0" applyNumberFormat="1" applyFont="1" applyFill="1" applyBorder="1"/>
    <xf numFmtId="0" fontId="0" fillId="0" borderId="0" xfId="0" applyAlignment="1">
      <alignment horizontal="right"/>
    </xf>
    <xf numFmtId="165" fontId="11" fillId="3" borderId="8" xfId="0" applyNumberFormat="1" applyFont="1" applyFill="1" applyBorder="1"/>
    <xf numFmtId="0" fontId="0" fillId="0" borderId="27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1" xfId="0" applyNumberFormat="1" applyBorder="1"/>
    <xf numFmtId="3" fontId="0" fillId="0" borderId="15" xfId="0" applyNumberFormat="1" applyBorder="1"/>
    <xf numFmtId="3" fontId="8" fillId="0" borderId="0" xfId="0" applyNumberFormat="1" applyFont="1"/>
    <xf numFmtId="3" fontId="8" fillId="0" borderId="27" xfId="0" applyNumberFormat="1" applyFont="1" applyBorder="1"/>
    <xf numFmtId="3" fontId="8" fillId="0" borderId="15" xfId="0" applyNumberFormat="1" applyFont="1" applyBorder="1"/>
    <xf numFmtId="3" fontId="11" fillId="3" borderId="27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3" fontId="11" fillId="3" borderId="28" xfId="0" applyNumberFormat="1" applyFont="1" applyFill="1" applyBorder="1"/>
    <xf numFmtId="3" fontId="11" fillId="3" borderId="1" xfId="0" applyNumberFormat="1" applyFont="1" applyFill="1" applyBorder="1"/>
    <xf numFmtId="3" fontId="11" fillId="3" borderId="15" xfId="0" applyNumberFormat="1" applyFont="1" applyFill="1" applyBorder="1"/>
    <xf numFmtId="0" fontId="0" fillId="0" borderId="28" xfId="0" applyBorder="1"/>
    <xf numFmtId="0" fontId="0" fillId="0" borderId="30" xfId="0" applyBorder="1"/>
    <xf numFmtId="0" fontId="8" fillId="0" borderId="27" xfId="0" applyFont="1" applyBorder="1"/>
    <xf numFmtId="165" fontId="12" fillId="0" borderId="9" xfId="0" applyNumberFormat="1" applyFont="1" applyBorder="1"/>
    <xf numFmtId="165" fontId="13" fillId="0" borderId="13" xfId="0" applyNumberFormat="1" applyFont="1" applyBorder="1"/>
    <xf numFmtId="0" fontId="0" fillId="0" borderId="31" xfId="0" applyBorder="1"/>
    <xf numFmtId="164" fontId="11" fillId="3" borderId="10" xfId="4" applyNumberFormat="1" applyFont="1" applyFill="1" applyBorder="1" applyAlignment="1">
      <alignment horizontal="left"/>
    </xf>
    <xf numFmtId="172" fontId="11" fillId="3" borderId="17" xfId="0" applyNumberFormat="1" applyFont="1" applyFill="1" applyBorder="1"/>
    <xf numFmtId="172" fontId="11" fillId="3" borderId="15" xfId="0" applyNumberFormat="1" applyFont="1" applyFill="1" applyBorder="1"/>
    <xf numFmtId="171" fontId="11" fillId="3" borderId="19" xfId="0" applyNumberFormat="1" applyFont="1" applyFill="1" applyBorder="1"/>
    <xf numFmtId="3" fontId="8" fillId="0" borderId="17" xfId="0" applyNumberFormat="1" applyFont="1" applyBorder="1"/>
    <xf numFmtId="0" fontId="8" fillId="2" borderId="28" xfId="0" applyFont="1" applyFill="1" applyBorder="1"/>
    <xf numFmtId="0" fontId="0" fillId="2" borderId="15" xfId="0" applyFill="1" applyBorder="1"/>
    <xf numFmtId="0" fontId="8" fillId="2" borderId="29" xfId="0" applyFont="1" applyFill="1" applyBorder="1"/>
    <xf numFmtId="0" fontId="9" fillId="2" borderId="25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9" xfId="0" applyFill="1" applyBorder="1"/>
    <xf numFmtId="0" fontId="8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0" xfId="0" applyFill="1" applyBorder="1"/>
    <xf numFmtId="0" fontId="8" fillId="2" borderId="1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0" xfId="0" applyFill="1" applyBorder="1" applyAlignment="1">
      <alignment horizontal="centerContinuous"/>
    </xf>
    <xf numFmtId="0" fontId="11" fillId="3" borderId="32" xfId="0" applyFont="1" applyFill="1" applyBorder="1"/>
    <xf numFmtId="167" fontId="8" fillId="2" borderId="21" xfId="0" applyNumberFormat="1" applyFont="1" applyFill="1" applyBorder="1"/>
    <xf numFmtId="171" fontId="8" fillId="0" borderId="32" xfId="0" applyNumberFormat="1" applyFont="1" applyBorder="1"/>
    <xf numFmtId="0" fontId="8" fillId="5" borderId="0" xfId="0" applyFont="1" applyFill="1" applyAlignment="1">
      <alignment horizontal="centerContinuous"/>
    </xf>
    <xf numFmtId="0" fontId="8" fillId="5" borderId="28" xfId="0" applyFont="1" applyFill="1" applyBorder="1" applyAlignment="1">
      <alignment horizontal="center"/>
    </xf>
    <xf numFmtId="0" fontId="8" fillId="5" borderId="28" xfId="0" applyFont="1" applyFill="1" applyBorder="1"/>
    <xf numFmtId="0" fontId="8" fillId="5" borderId="28" xfId="0" applyFont="1" applyFill="1" applyBorder="1" applyAlignment="1">
      <alignment horizontal="centerContinuous"/>
    </xf>
    <xf numFmtId="0" fontId="8" fillId="5" borderId="15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Continuous"/>
    </xf>
    <xf numFmtId="0" fontId="8" fillId="5" borderId="1" xfId="0" applyFont="1" applyFill="1" applyBorder="1" applyAlignment="1">
      <alignment horizontal="centerContinuous"/>
    </xf>
    <xf numFmtId="3" fontId="19" fillId="6" borderId="0" xfId="0" applyNumberFormat="1" applyFont="1" applyFill="1"/>
    <xf numFmtId="9" fontId="0" fillId="0" borderId="0" xfId="4" applyFont="1"/>
    <xf numFmtId="3" fontId="19" fillId="6" borderId="17" xfId="0" applyNumberFormat="1" applyFont="1" applyFill="1" applyBorder="1"/>
    <xf numFmtId="3" fontId="13" fillId="3" borderId="17" xfId="0" applyNumberFormat="1" applyFont="1" applyFill="1" applyBorder="1"/>
    <xf numFmtId="3" fontId="13" fillId="3" borderId="15" xfId="0" applyNumberFormat="1" applyFont="1" applyFill="1" applyBorder="1"/>
    <xf numFmtId="3" fontId="20" fillId="3" borderId="17" xfId="0" applyNumberFormat="1" applyFont="1" applyFill="1" applyBorder="1"/>
    <xf numFmtId="3" fontId="20" fillId="3" borderId="15" xfId="0" applyNumberFormat="1" applyFont="1" applyFill="1" applyBorder="1"/>
    <xf numFmtId="165" fontId="12" fillId="3" borderId="9" xfId="0" applyNumberFormat="1" applyFont="1" applyFill="1" applyBorder="1"/>
    <xf numFmtId="0" fontId="9" fillId="0" borderId="27" xfId="0" applyFont="1" applyBorder="1"/>
    <xf numFmtId="9" fontId="21" fillId="0" borderId="17" xfId="4" applyFont="1" applyBorder="1"/>
    <xf numFmtId="9" fontId="9" fillId="0" borderId="17" xfId="0" applyNumberFormat="1" applyFont="1" applyBorder="1"/>
    <xf numFmtId="9" fontId="9" fillId="0" borderId="0" xfId="0" applyNumberFormat="1" applyFont="1"/>
    <xf numFmtId="9" fontId="9" fillId="0" borderId="27" xfId="0" applyNumberFormat="1" applyFont="1" applyBorder="1"/>
    <xf numFmtId="0" fontId="0" fillId="0" borderId="37" xfId="0" applyBorder="1"/>
    <xf numFmtId="167" fontId="8" fillId="0" borderId="38" xfId="0" applyNumberFormat="1" applyFont="1" applyBorder="1"/>
    <xf numFmtId="0" fontId="8" fillId="0" borderId="36" xfId="0" applyFont="1" applyBorder="1"/>
    <xf numFmtId="0" fontId="8" fillId="7" borderId="39" xfId="0" applyFont="1" applyFill="1" applyBorder="1"/>
    <xf numFmtId="164" fontId="8" fillId="7" borderId="40" xfId="0" applyNumberFormat="1" applyFont="1" applyFill="1" applyBorder="1"/>
    <xf numFmtId="164" fontId="11" fillId="7" borderId="40" xfId="0" applyNumberFormat="1" applyFont="1" applyFill="1" applyBorder="1"/>
    <xf numFmtId="164" fontId="11" fillId="7" borderId="37" xfId="0" applyNumberFormat="1" applyFont="1" applyFill="1" applyBorder="1"/>
    <xf numFmtId="164" fontId="11" fillId="7" borderId="41" xfId="0" applyNumberFormat="1" applyFont="1" applyFill="1" applyBorder="1"/>
    <xf numFmtId="0" fontId="8" fillId="5" borderId="17" xfId="0" applyFont="1" applyFill="1" applyBorder="1" applyAlignment="1">
      <alignment horizontal="center"/>
    </xf>
    <xf numFmtId="3" fontId="19" fillId="6" borderId="27" xfId="0" applyNumberFormat="1" applyFont="1" applyFill="1" applyBorder="1"/>
    <xf numFmtId="0" fontId="8" fillId="0" borderId="42" xfId="0" applyFont="1" applyBorder="1"/>
    <xf numFmtId="0" fontId="8" fillId="0" borderId="34" xfId="0" applyFont="1" applyBorder="1"/>
    <xf numFmtId="0" fontId="8" fillId="0" borderId="0" xfId="0" applyFont="1"/>
    <xf numFmtId="0" fontId="8" fillId="0" borderId="35" xfId="0" applyFont="1" applyBorder="1"/>
    <xf numFmtId="167" fontId="8" fillId="0" borderId="43" xfId="0" applyNumberFormat="1" applyFont="1" applyBorder="1"/>
    <xf numFmtId="9" fontId="8" fillId="0" borderId="11" xfId="0" applyNumberFormat="1" applyFont="1" applyBorder="1"/>
    <xf numFmtId="9" fontId="8" fillId="0" borderId="10" xfId="0" applyNumberFormat="1" applyFont="1" applyBorder="1"/>
    <xf numFmtId="171" fontId="12" fillId="3" borderId="19" xfId="0" applyNumberFormat="1" applyFont="1" applyFill="1" applyBorder="1"/>
    <xf numFmtId="3" fontId="0" fillId="0" borderId="19" xfId="0" applyNumberFormat="1" applyBorder="1"/>
    <xf numFmtId="3" fontId="19" fillId="6" borderId="1" xfId="0" applyNumberFormat="1" applyFont="1" applyFill="1" applyBorder="1"/>
    <xf numFmtId="169" fontId="11" fillId="3" borderId="12" xfId="0" applyNumberFormat="1" applyFont="1" applyFill="1" applyBorder="1"/>
    <xf numFmtId="3" fontId="11" fillId="3" borderId="12" xfId="0" applyNumberFormat="1" applyFont="1" applyFill="1" applyBorder="1"/>
    <xf numFmtId="0" fontId="16" fillId="0" borderId="5" xfId="5" applyBorder="1"/>
    <xf numFmtId="3" fontId="19" fillId="6" borderId="19" xfId="0" applyNumberFormat="1" applyFont="1" applyFill="1" applyBorder="1"/>
    <xf numFmtId="0" fontId="24" fillId="0" borderId="0" xfId="0" applyFont="1"/>
    <xf numFmtId="3" fontId="24" fillId="0" borderId="0" xfId="0" applyNumberFormat="1" applyFont="1"/>
    <xf numFmtId="0" fontId="25" fillId="0" borderId="0" xfId="19" applyFont="1"/>
    <xf numFmtId="0" fontId="26" fillId="0" borderId="0" xfId="19" applyFont="1"/>
    <xf numFmtId="0" fontId="26" fillId="0" borderId="0" xfId="19" applyFont="1" applyAlignment="1">
      <alignment horizontal="center"/>
    </xf>
    <xf numFmtId="0" fontId="26" fillId="0" borderId="0" xfId="19" applyFont="1" applyAlignment="1">
      <alignment horizontal="right"/>
    </xf>
    <xf numFmtId="0" fontId="25" fillId="0" borderId="0" xfId="19" applyFont="1" applyAlignment="1">
      <alignment horizontal="right"/>
    </xf>
    <xf numFmtId="3" fontId="27" fillId="8" borderId="0" xfId="19" applyNumberFormat="1" applyFont="1" applyFill="1" applyAlignment="1">
      <alignment vertical="center"/>
    </xf>
    <xf numFmtId="0" fontId="27" fillId="8" borderId="0" xfId="19" applyFont="1" applyFill="1" applyAlignment="1">
      <alignment vertical="center"/>
    </xf>
    <xf numFmtId="3" fontId="27" fillId="8" borderId="0" xfId="19" applyNumberFormat="1" applyFont="1" applyFill="1" applyAlignment="1">
      <alignment horizontal="right" vertical="center"/>
    </xf>
    <xf numFmtId="0" fontId="26" fillId="9" borderId="0" xfId="19" applyFont="1" applyFill="1"/>
    <xf numFmtId="0" fontId="26" fillId="9" borderId="0" xfId="19" applyFont="1" applyFill="1" applyAlignment="1">
      <alignment horizontal="center" vertical="center"/>
    </xf>
    <xf numFmtId="169" fontId="28" fillId="9" borderId="47" xfId="19" applyNumberFormat="1" applyFont="1" applyFill="1" applyBorder="1" applyAlignment="1">
      <alignment horizontal="right" vertical="center"/>
    </xf>
    <xf numFmtId="0" fontId="26" fillId="0" borderId="0" xfId="19" applyFont="1" applyAlignment="1">
      <alignment vertical="center"/>
    </xf>
    <xf numFmtId="3" fontId="26" fillId="0" borderId="0" xfId="19" applyNumberFormat="1" applyFont="1" applyAlignment="1">
      <alignment horizontal="right" vertical="center"/>
    </xf>
    <xf numFmtId="173" fontId="26" fillId="0" borderId="0" xfId="19" applyNumberFormat="1" applyFont="1" applyAlignment="1">
      <alignment horizontal="right"/>
    </xf>
    <xf numFmtId="0" fontId="26" fillId="0" borderId="1" xfId="19" applyFont="1" applyBorder="1" applyAlignment="1">
      <alignment horizontal="left"/>
    </xf>
    <xf numFmtId="9" fontId="26" fillId="0" borderId="1" xfId="20" applyFont="1" applyBorder="1" applyAlignment="1">
      <alignment horizontal="right"/>
    </xf>
    <xf numFmtId="49" fontId="28" fillId="9" borderId="47" xfId="21" applyNumberFormat="1" applyFont="1" applyFill="1" applyBorder="1" applyAlignment="1">
      <alignment horizontal="right" vertical="center"/>
    </xf>
    <xf numFmtId="0" fontId="26" fillId="9" borderId="1" xfId="19" applyFont="1" applyFill="1" applyBorder="1"/>
    <xf numFmtId="0" fontId="26" fillId="9" borderId="1" xfId="19" applyFont="1" applyFill="1" applyBorder="1" applyAlignment="1">
      <alignment horizontal="center" vertical="center"/>
    </xf>
    <xf numFmtId="49" fontId="28" fillId="9" borderId="48" xfId="19" applyNumberFormat="1" applyFont="1" applyFill="1" applyBorder="1" applyAlignment="1">
      <alignment horizontal="right" vertical="center"/>
    </xf>
    <xf numFmtId="173" fontId="25" fillId="0" borderId="0" xfId="19" applyNumberFormat="1" applyFont="1" applyAlignment="1">
      <alignment horizontal="right"/>
    </xf>
    <xf numFmtId="0" fontId="29" fillId="0" borderId="0" xfId="19" applyFont="1"/>
    <xf numFmtId="0" fontId="27" fillId="8" borderId="0" xfId="19" applyFont="1" applyFill="1" applyAlignment="1">
      <alignment horizontal="right" vertical="center"/>
    </xf>
    <xf numFmtId="14" fontId="30" fillId="0" borderId="0" xfId="19" applyNumberFormat="1" applyFont="1" applyAlignment="1">
      <alignment horizontal="center" vertical="center"/>
    </xf>
    <xf numFmtId="0" fontId="30" fillId="0" borderId="0" xfId="19" applyFont="1" applyAlignment="1">
      <alignment horizontal="right" vertical="center"/>
    </xf>
    <xf numFmtId="14" fontId="26" fillId="0" borderId="0" xfId="19" applyNumberFormat="1" applyFont="1" applyAlignment="1">
      <alignment horizontal="right"/>
    </xf>
    <xf numFmtId="3" fontId="26" fillId="9" borderId="0" xfId="19" applyNumberFormat="1" applyFont="1" applyFill="1" applyAlignment="1">
      <alignment vertical="center"/>
    </xf>
    <xf numFmtId="3" fontId="31" fillId="9" borderId="0" xfId="19" applyNumberFormat="1" applyFont="1" applyFill="1" applyAlignment="1">
      <alignment vertical="center"/>
    </xf>
    <xf numFmtId="0" fontId="31" fillId="9" borderId="0" xfId="19" applyFont="1" applyFill="1" applyAlignment="1">
      <alignment vertical="center"/>
    </xf>
    <xf numFmtId="169" fontId="28" fillId="9" borderId="47" xfId="19" applyNumberFormat="1" applyFont="1" applyFill="1" applyBorder="1" applyAlignment="1">
      <alignment vertical="center"/>
    </xf>
    <xf numFmtId="3" fontId="28" fillId="9" borderId="47" xfId="19" applyNumberFormat="1" applyFont="1" applyFill="1" applyBorder="1" applyAlignment="1">
      <alignment vertical="center"/>
    </xf>
    <xf numFmtId="14" fontId="26" fillId="0" borderId="0" xfId="19" applyNumberFormat="1" applyFont="1" applyAlignment="1">
      <alignment horizontal="center"/>
    </xf>
    <xf numFmtId="0" fontId="26" fillId="9" borderId="0" xfId="19" applyFont="1" applyFill="1" applyAlignment="1">
      <alignment vertical="center"/>
    </xf>
    <xf numFmtId="0" fontId="26" fillId="9" borderId="1" xfId="19" applyFont="1" applyFill="1" applyBorder="1" applyAlignment="1">
      <alignment vertical="center"/>
    </xf>
    <xf numFmtId="9" fontId="28" fillId="9" borderId="48" xfId="20" applyFont="1" applyFill="1" applyBorder="1" applyAlignment="1">
      <alignment vertical="center"/>
    </xf>
    <xf numFmtId="0" fontId="31" fillId="0" borderId="0" xfId="19" applyFont="1"/>
    <xf numFmtId="0" fontId="30" fillId="0" borderId="0" xfId="19" applyFont="1" applyAlignment="1">
      <alignment horizontal="center" vertical="center"/>
    </xf>
    <xf numFmtId="10" fontId="26" fillId="0" borderId="0" xfId="20" applyNumberFormat="1" applyFont="1" applyAlignment="1">
      <alignment horizontal="right"/>
    </xf>
    <xf numFmtId="3" fontId="27" fillId="8" borderId="49" xfId="19" applyNumberFormat="1" applyFont="1" applyFill="1" applyBorder="1" applyAlignment="1">
      <alignment horizontal="center" vertical="center"/>
    </xf>
    <xf numFmtId="3" fontId="27" fillId="8" borderId="0" xfId="19" applyNumberFormat="1" applyFont="1" applyFill="1" applyAlignment="1">
      <alignment horizontal="center" vertical="center"/>
    </xf>
    <xf numFmtId="0" fontId="25" fillId="0" borderId="0" xfId="19" applyFont="1" applyAlignment="1">
      <alignment vertical="center"/>
    </xf>
    <xf numFmtId="0" fontId="25" fillId="0" borderId="0" xfId="19" applyFont="1" applyAlignment="1">
      <alignment wrapText="1"/>
    </xf>
    <xf numFmtId="3" fontId="27" fillId="8" borderId="0" xfId="19" applyNumberFormat="1" applyFont="1" applyFill="1" applyAlignment="1">
      <alignment horizontal="right"/>
    </xf>
    <xf numFmtId="0" fontId="27" fillId="8" borderId="0" xfId="19" applyFont="1" applyFill="1" applyAlignment="1">
      <alignment horizontal="right"/>
    </xf>
    <xf numFmtId="3" fontId="27" fillId="8" borderId="0" xfId="19" applyNumberFormat="1" applyFont="1" applyFill="1" applyAlignment="1">
      <alignment horizontal="right" wrapText="1"/>
    </xf>
    <xf numFmtId="2" fontId="31" fillId="0" borderId="0" xfId="19" applyNumberFormat="1" applyFont="1" applyAlignment="1">
      <alignment horizontal="right" vertical="center" indent="2"/>
    </xf>
    <xf numFmtId="3" fontId="31" fillId="0" borderId="0" xfId="19" applyNumberFormat="1" applyFont="1" applyAlignment="1">
      <alignment horizontal="right" vertical="center"/>
    </xf>
    <xf numFmtId="0" fontId="31" fillId="0" borderId="0" xfId="19" applyFont="1" applyAlignment="1">
      <alignment horizontal="right" vertical="center" indent="2"/>
    </xf>
    <xf numFmtId="3" fontId="31" fillId="0" borderId="50" xfId="19" applyNumberFormat="1" applyFont="1" applyBorder="1" applyAlignment="1">
      <alignment horizontal="right" vertical="center"/>
    </xf>
    <xf numFmtId="3" fontId="26" fillId="9" borderId="51" xfId="19" applyNumberFormat="1" applyFont="1" applyFill="1" applyBorder="1" applyAlignment="1">
      <alignment vertical="center"/>
    </xf>
    <xf numFmtId="3" fontId="26" fillId="9" borderId="51" xfId="19" applyNumberFormat="1" applyFont="1" applyFill="1" applyBorder="1" applyAlignment="1">
      <alignment horizontal="right" vertical="center"/>
    </xf>
    <xf numFmtId="0" fontId="26" fillId="9" borderId="51" xfId="19" applyFont="1" applyFill="1" applyBorder="1" applyAlignment="1">
      <alignment horizontal="right" vertical="center"/>
    </xf>
    <xf numFmtId="3" fontId="26" fillId="9" borderId="52" xfId="19" applyNumberFormat="1" applyFont="1" applyFill="1" applyBorder="1" applyAlignment="1">
      <alignment vertical="center"/>
    </xf>
    <xf numFmtId="3" fontId="26" fillId="9" borderId="52" xfId="19" applyNumberFormat="1" applyFont="1" applyFill="1" applyBorder="1" applyAlignment="1">
      <alignment horizontal="right" vertical="center"/>
    </xf>
    <xf numFmtId="0" fontId="26" fillId="9" borderId="52" xfId="19" applyFont="1" applyFill="1" applyBorder="1" applyAlignment="1">
      <alignment horizontal="right" vertical="center"/>
    </xf>
    <xf numFmtId="0" fontId="29" fillId="9" borderId="0" xfId="19" applyFont="1" applyFill="1" applyAlignment="1">
      <alignment horizontal="left" vertical="center"/>
    </xf>
    <xf numFmtId="0" fontId="29" fillId="9" borderId="0" xfId="19" applyFont="1" applyFill="1" applyAlignment="1">
      <alignment horizontal="right" vertical="center"/>
    </xf>
    <xf numFmtId="3" fontId="27" fillId="8" borderId="0" xfId="19" applyNumberFormat="1" applyFont="1" applyFill="1" applyAlignment="1">
      <alignment horizontal="left" vertical="center"/>
    </xf>
    <xf numFmtId="3" fontId="27" fillId="8" borderId="0" xfId="19" applyNumberFormat="1" applyFont="1" applyFill="1" applyAlignment="1">
      <alignment horizontal="left" vertical="top"/>
    </xf>
    <xf numFmtId="3" fontId="27" fillId="8" borderId="0" xfId="19" applyNumberFormat="1" applyFont="1" applyFill="1" applyAlignment="1">
      <alignment horizontal="right" vertical="center" wrapText="1"/>
    </xf>
    <xf numFmtId="3" fontId="27" fillId="8" borderId="0" xfId="19" applyNumberFormat="1" applyFont="1" applyFill="1" applyAlignment="1">
      <alignment horizontal="right" vertical="top"/>
    </xf>
    <xf numFmtId="3" fontId="31" fillId="9" borderId="50" xfId="19" applyNumberFormat="1" applyFont="1" applyFill="1" applyBorder="1" applyAlignment="1">
      <alignment horizontal="left" vertical="center"/>
    </xf>
    <xf numFmtId="3" fontId="31" fillId="9" borderId="50" xfId="19" applyNumberFormat="1" applyFont="1" applyFill="1" applyBorder="1" applyAlignment="1">
      <alignment horizontal="right" vertical="center"/>
    </xf>
    <xf numFmtId="9" fontId="31" fillId="9" borderId="50" xfId="20" applyFont="1" applyFill="1" applyBorder="1" applyAlignment="1">
      <alignment horizontal="right" vertical="center"/>
    </xf>
    <xf numFmtId="0" fontId="26" fillId="9" borderId="0" xfId="19" applyFont="1" applyFill="1" applyAlignment="1">
      <alignment horizontal="right"/>
    </xf>
    <xf numFmtId="1" fontId="26" fillId="9" borderId="0" xfId="19" applyNumberFormat="1" applyFont="1" applyFill="1"/>
    <xf numFmtId="9" fontId="26" fillId="9" borderId="0" xfId="20" applyFont="1" applyFill="1" applyAlignment="1">
      <alignment vertical="center"/>
    </xf>
    <xf numFmtId="9" fontId="26" fillId="9" borderId="0" xfId="20" applyFont="1" applyFill="1" applyAlignment="1">
      <alignment horizontal="right" wrapText="1"/>
    </xf>
    <xf numFmtId="0" fontId="26" fillId="9" borderId="50" xfId="19" applyFont="1" applyFill="1" applyBorder="1" applyAlignment="1">
      <alignment horizontal="right"/>
    </xf>
    <xf numFmtId="0" fontId="26" fillId="0" borderId="50" xfId="19" applyFont="1" applyBorder="1"/>
    <xf numFmtId="0" fontId="26" fillId="9" borderId="50" xfId="19" applyFont="1" applyFill="1" applyBorder="1" applyAlignment="1">
      <alignment vertical="center"/>
    </xf>
    <xf numFmtId="3" fontId="25" fillId="0" borderId="0" xfId="19" applyNumberFormat="1" applyFont="1"/>
    <xf numFmtId="0" fontId="25" fillId="9" borderId="0" xfId="19" applyFont="1" applyFill="1" applyAlignment="1">
      <alignment vertical="center"/>
    </xf>
    <xf numFmtId="0" fontId="25" fillId="9" borderId="0" xfId="19" applyFont="1" applyFill="1"/>
    <xf numFmtId="3" fontId="32" fillId="9" borderId="0" xfId="19" applyNumberFormat="1" applyFont="1" applyFill="1" applyAlignment="1">
      <alignment horizontal="centerContinuous" vertical="center"/>
    </xf>
    <xf numFmtId="3" fontId="29" fillId="9" borderId="0" xfId="19" applyNumberFormat="1" applyFont="1" applyFill="1" applyAlignment="1">
      <alignment horizontal="right"/>
    </xf>
    <xf numFmtId="0" fontId="26" fillId="9" borderId="0" xfId="19" applyFont="1" applyFill="1" applyAlignment="1">
      <alignment horizontal="center"/>
    </xf>
    <xf numFmtId="0" fontId="25" fillId="0" borderId="0" xfId="26" applyFont="1"/>
    <xf numFmtId="0" fontId="26" fillId="0" borderId="0" xfId="26" applyFont="1"/>
    <xf numFmtId="0" fontId="26" fillId="0" borderId="0" xfId="26" applyFont="1" applyAlignment="1">
      <alignment horizontal="center"/>
    </xf>
    <xf numFmtId="0" fontId="26" fillId="0" borderId="0" xfId="26" applyFont="1" applyAlignment="1">
      <alignment horizontal="right"/>
    </xf>
    <xf numFmtId="0" fontId="25" fillId="0" borderId="0" xfId="26" applyFont="1" applyAlignment="1">
      <alignment horizontal="right"/>
    </xf>
    <xf numFmtId="3" fontId="27" fillId="8" borderId="0" xfId="26" applyNumberFormat="1" applyFont="1" applyFill="1" applyAlignment="1">
      <alignment vertical="center"/>
    </xf>
    <xf numFmtId="0" fontId="27" fillId="8" borderId="0" xfId="26" applyFont="1" applyFill="1" applyAlignment="1">
      <alignment vertical="center"/>
    </xf>
    <xf numFmtId="3" fontId="27" fillId="8" borderId="0" xfId="26" applyNumberFormat="1" applyFont="1" applyFill="1" applyAlignment="1">
      <alignment horizontal="right" vertical="center"/>
    </xf>
    <xf numFmtId="0" fontId="26" fillId="9" borderId="0" xfId="26" applyFont="1" applyFill="1"/>
    <xf numFmtId="0" fontId="26" fillId="9" borderId="0" xfId="26" applyFont="1" applyFill="1" applyAlignment="1">
      <alignment horizontal="center" vertical="center"/>
    </xf>
    <xf numFmtId="169" fontId="28" fillId="9" borderId="47" xfId="26" applyNumberFormat="1" applyFont="1" applyFill="1" applyBorder="1" applyAlignment="1">
      <alignment horizontal="right" vertical="center"/>
    </xf>
    <xf numFmtId="0" fontId="26" fillId="0" borderId="0" xfId="26" applyFont="1" applyAlignment="1">
      <alignment vertical="center"/>
    </xf>
    <xf numFmtId="3" fontId="26" fillId="0" borderId="0" xfId="26" applyNumberFormat="1" applyFont="1" applyAlignment="1">
      <alignment horizontal="right" vertical="center"/>
    </xf>
    <xf numFmtId="173" fontId="26" fillId="0" borderId="0" xfId="26" applyNumberFormat="1" applyFont="1" applyAlignment="1">
      <alignment horizontal="right"/>
    </xf>
    <xf numFmtId="49" fontId="28" fillId="9" borderId="47" xfId="27" applyNumberFormat="1" applyFont="1" applyFill="1" applyBorder="1" applyAlignment="1">
      <alignment horizontal="right" vertical="center"/>
    </xf>
    <xf numFmtId="0" fontId="26" fillId="9" borderId="1" xfId="26" applyFont="1" applyFill="1" applyBorder="1"/>
    <xf numFmtId="0" fontId="26" fillId="9" borderId="1" xfId="26" applyFont="1" applyFill="1" applyBorder="1" applyAlignment="1">
      <alignment horizontal="center" vertical="center"/>
    </xf>
    <xf numFmtId="49" fontId="28" fillId="9" borderId="48" xfId="26" applyNumberFormat="1" applyFont="1" applyFill="1" applyBorder="1" applyAlignment="1">
      <alignment horizontal="right" vertical="center"/>
    </xf>
    <xf numFmtId="0" fontId="26" fillId="0" borderId="1" xfId="26" applyFont="1" applyBorder="1" applyAlignment="1">
      <alignment horizontal="left"/>
    </xf>
    <xf numFmtId="9" fontId="26" fillId="0" borderId="1" xfId="28" applyFont="1" applyBorder="1" applyAlignment="1">
      <alignment horizontal="right"/>
    </xf>
    <xf numFmtId="173" fontId="25" fillId="0" borderId="0" xfId="26" applyNumberFormat="1" applyFont="1" applyAlignment="1">
      <alignment horizontal="right"/>
    </xf>
    <xf numFmtId="0" fontId="29" fillId="0" borderId="0" xfId="26" applyFont="1"/>
    <xf numFmtId="0" fontId="27" fillId="8" borderId="0" xfId="26" applyFont="1" applyFill="1" applyAlignment="1">
      <alignment horizontal="right" vertical="center"/>
    </xf>
    <xf numFmtId="14" fontId="30" fillId="0" borderId="0" xfId="26" applyNumberFormat="1" applyFont="1" applyAlignment="1">
      <alignment horizontal="center" vertical="center"/>
    </xf>
    <xf numFmtId="0" fontId="30" fillId="0" borderId="0" xfId="26" applyFont="1" applyAlignment="1">
      <alignment horizontal="right" vertical="center"/>
    </xf>
    <xf numFmtId="14" fontId="26" fillId="0" borderId="0" xfId="26" applyNumberFormat="1" applyFont="1" applyAlignment="1">
      <alignment horizontal="right"/>
    </xf>
    <xf numFmtId="3" fontId="26" fillId="9" borderId="0" xfId="26" applyNumberFormat="1" applyFont="1" applyFill="1" applyAlignment="1">
      <alignment vertical="center"/>
    </xf>
    <xf numFmtId="3" fontId="31" fillId="9" borderId="0" xfId="26" applyNumberFormat="1" applyFont="1" applyFill="1" applyAlignment="1">
      <alignment vertical="center"/>
    </xf>
    <xf numFmtId="0" fontId="31" fillId="9" borderId="0" xfId="26" applyFont="1" applyFill="1" applyAlignment="1">
      <alignment vertical="center"/>
    </xf>
    <xf numFmtId="169" fontId="28" fillId="9" borderId="47" xfId="26" applyNumberFormat="1" applyFont="1" applyFill="1" applyBorder="1" applyAlignment="1">
      <alignment vertical="center"/>
    </xf>
    <xf numFmtId="3" fontId="25" fillId="0" borderId="0" xfId="26" applyNumberFormat="1" applyFont="1" applyAlignment="1">
      <alignment horizontal="right"/>
    </xf>
    <xf numFmtId="3" fontId="28" fillId="9" borderId="47" xfId="26" applyNumberFormat="1" applyFont="1" applyFill="1" applyBorder="1" applyAlignment="1">
      <alignment vertical="center"/>
    </xf>
    <xf numFmtId="14" fontId="26" fillId="0" borderId="0" xfId="26" applyNumberFormat="1" applyFont="1" applyAlignment="1">
      <alignment horizontal="center"/>
    </xf>
    <xf numFmtId="0" fontId="26" fillId="9" borderId="0" xfId="26" applyFont="1" applyFill="1" applyAlignment="1">
      <alignment vertical="center"/>
    </xf>
    <xf numFmtId="0" fontId="26" fillId="9" borderId="1" xfId="26" applyFont="1" applyFill="1" applyBorder="1" applyAlignment="1">
      <alignment vertical="center"/>
    </xf>
    <xf numFmtId="9" fontId="28" fillId="9" borderId="48" xfId="28" applyFont="1" applyFill="1" applyBorder="1" applyAlignment="1">
      <alignment vertical="center"/>
    </xf>
    <xf numFmtId="0" fontId="31" fillId="0" borderId="0" xfId="26" applyFont="1"/>
    <xf numFmtId="0" fontId="30" fillId="0" borderId="0" xfId="26" applyFont="1" applyAlignment="1">
      <alignment horizontal="center" vertical="center"/>
    </xf>
    <xf numFmtId="10" fontId="26" fillId="0" borderId="0" xfId="28" applyNumberFormat="1" applyFont="1" applyAlignment="1">
      <alignment horizontal="right"/>
    </xf>
    <xf numFmtId="3" fontId="27" fillId="8" borderId="49" xfId="26" applyNumberFormat="1" applyFont="1" applyFill="1" applyBorder="1" applyAlignment="1">
      <alignment horizontal="center" vertical="center"/>
    </xf>
    <xf numFmtId="3" fontId="27" fillId="8" borderId="0" xfId="26" applyNumberFormat="1" applyFont="1" applyFill="1" applyAlignment="1">
      <alignment horizontal="center" vertical="center"/>
    </xf>
    <xf numFmtId="0" fontId="25" fillId="0" borderId="0" xfId="26" applyFont="1" applyAlignment="1">
      <alignment vertical="center"/>
    </xf>
    <xf numFmtId="0" fontId="25" fillId="0" borderId="0" xfId="26" applyFont="1" applyAlignment="1">
      <alignment wrapText="1"/>
    </xf>
    <xf numFmtId="3" fontId="27" fillId="8" borderId="0" xfId="26" applyNumberFormat="1" applyFont="1" applyFill="1" applyAlignment="1">
      <alignment horizontal="right"/>
    </xf>
    <xf numFmtId="0" fontId="27" fillId="8" borderId="0" xfId="26" applyFont="1" applyFill="1" applyAlignment="1">
      <alignment horizontal="right"/>
    </xf>
    <xf numFmtId="3" fontId="27" fillId="8" borderId="0" xfId="26" applyNumberFormat="1" applyFont="1" applyFill="1" applyAlignment="1">
      <alignment horizontal="right" wrapText="1"/>
    </xf>
    <xf numFmtId="2" fontId="31" fillId="0" borderId="0" xfId="26" applyNumberFormat="1" applyFont="1" applyAlignment="1">
      <alignment horizontal="right" vertical="center" indent="2"/>
    </xf>
    <xf numFmtId="3" fontId="31" fillId="0" borderId="0" xfId="26" applyNumberFormat="1" applyFont="1" applyAlignment="1">
      <alignment horizontal="right" vertical="center"/>
    </xf>
    <xf numFmtId="0" fontId="31" fillId="0" borderId="0" xfId="26" applyFont="1" applyAlignment="1">
      <alignment horizontal="right" vertical="center" indent="2"/>
    </xf>
    <xf numFmtId="3" fontId="31" fillId="0" borderId="50" xfId="26" applyNumberFormat="1" applyFont="1" applyBorder="1" applyAlignment="1">
      <alignment horizontal="right" vertical="center"/>
    </xf>
    <xf numFmtId="3" fontId="26" fillId="9" borderId="51" xfId="26" applyNumberFormat="1" applyFont="1" applyFill="1" applyBorder="1" applyAlignment="1">
      <alignment vertical="center"/>
    </xf>
    <xf numFmtId="3" fontId="26" fillId="9" borderId="51" xfId="26" applyNumberFormat="1" applyFont="1" applyFill="1" applyBorder="1" applyAlignment="1">
      <alignment horizontal="right" vertical="center"/>
    </xf>
    <xf numFmtId="0" fontId="26" fillId="9" borderId="51" xfId="26" applyFont="1" applyFill="1" applyBorder="1" applyAlignment="1">
      <alignment horizontal="right" vertical="center"/>
    </xf>
    <xf numFmtId="3" fontId="26" fillId="9" borderId="52" xfId="26" applyNumberFormat="1" applyFont="1" applyFill="1" applyBorder="1" applyAlignment="1">
      <alignment vertical="center"/>
    </xf>
    <xf numFmtId="3" fontId="26" fillId="9" borderId="52" xfId="26" applyNumberFormat="1" applyFont="1" applyFill="1" applyBorder="1" applyAlignment="1">
      <alignment horizontal="right" vertical="center"/>
    </xf>
    <xf numFmtId="0" fontId="26" fillId="9" borderId="52" xfId="26" applyFont="1" applyFill="1" applyBorder="1" applyAlignment="1">
      <alignment horizontal="right" vertical="center"/>
    </xf>
    <xf numFmtId="0" fontId="29" fillId="9" borderId="0" xfId="26" applyFont="1" applyFill="1" applyAlignment="1">
      <alignment horizontal="left" vertical="center"/>
    </xf>
    <xf numFmtId="0" fontId="29" fillId="9" borderId="0" xfId="26" applyFont="1" applyFill="1" applyAlignment="1">
      <alignment horizontal="right" vertical="center"/>
    </xf>
    <xf numFmtId="3" fontId="27" fillId="8" borderId="0" xfId="26" applyNumberFormat="1" applyFont="1" applyFill="1" applyAlignment="1">
      <alignment horizontal="left" vertical="center"/>
    </xf>
    <xf numFmtId="3" fontId="27" fillId="8" borderId="0" xfId="26" applyNumberFormat="1" applyFont="1" applyFill="1" applyAlignment="1">
      <alignment horizontal="left" vertical="top"/>
    </xf>
    <xf numFmtId="3" fontId="27" fillId="8" borderId="0" xfId="26" applyNumberFormat="1" applyFont="1" applyFill="1" applyAlignment="1">
      <alignment horizontal="right" vertical="center" wrapText="1"/>
    </xf>
    <xf numFmtId="3" fontId="27" fillId="8" borderId="0" xfId="26" applyNumberFormat="1" applyFont="1" applyFill="1" applyAlignment="1">
      <alignment horizontal="right" vertical="top"/>
    </xf>
    <xf numFmtId="3" fontId="31" fillId="9" borderId="50" xfId="26" applyNumberFormat="1" applyFont="1" applyFill="1" applyBorder="1" applyAlignment="1">
      <alignment horizontal="left" vertical="center"/>
    </xf>
    <xf numFmtId="3" fontId="31" fillId="9" borderId="50" xfId="26" applyNumberFormat="1" applyFont="1" applyFill="1" applyBorder="1" applyAlignment="1">
      <alignment horizontal="right" vertical="center"/>
    </xf>
    <xf numFmtId="9" fontId="31" fillId="9" borderId="50" xfId="28" applyFont="1" applyFill="1" applyBorder="1" applyAlignment="1">
      <alignment horizontal="right" vertical="center"/>
    </xf>
    <xf numFmtId="0" fontId="26" fillId="9" borderId="0" xfId="26" applyFont="1" applyFill="1" applyAlignment="1">
      <alignment horizontal="right"/>
    </xf>
    <xf numFmtId="1" fontId="26" fillId="9" borderId="0" xfId="26" applyNumberFormat="1" applyFont="1" applyFill="1"/>
    <xf numFmtId="9" fontId="26" fillId="9" borderId="0" xfId="28" applyFont="1" applyFill="1" applyAlignment="1">
      <alignment vertical="center"/>
    </xf>
    <xf numFmtId="9" fontId="26" fillId="9" borderId="0" xfId="28" applyFont="1" applyFill="1" applyAlignment="1">
      <alignment horizontal="right" wrapText="1"/>
    </xf>
    <xf numFmtId="0" fontId="26" fillId="9" borderId="50" xfId="26" applyFont="1" applyFill="1" applyBorder="1" applyAlignment="1">
      <alignment horizontal="right"/>
    </xf>
    <xf numFmtId="0" fontId="26" fillId="9" borderId="50" xfId="26" applyFont="1" applyFill="1" applyBorder="1" applyAlignment="1">
      <alignment vertical="center"/>
    </xf>
    <xf numFmtId="3" fontId="25" fillId="0" borderId="0" xfId="26" applyNumberFormat="1" applyFont="1"/>
    <xf numFmtId="0" fontId="25" fillId="9" borderId="0" xfId="26" applyFont="1" applyFill="1" applyAlignment="1">
      <alignment vertical="center"/>
    </xf>
    <xf numFmtId="0" fontId="25" fillId="9" borderId="0" xfId="26" applyFont="1" applyFill="1"/>
    <xf numFmtId="3" fontId="32" fillId="9" borderId="0" xfId="26" applyNumberFormat="1" applyFont="1" applyFill="1" applyAlignment="1">
      <alignment horizontal="centerContinuous" vertical="center"/>
    </xf>
    <xf numFmtId="3" fontId="29" fillId="9" borderId="0" xfId="26" applyNumberFormat="1" applyFont="1" applyFill="1" applyAlignment="1">
      <alignment horizontal="right"/>
    </xf>
    <xf numFmtId="0" fontId="26" fillId="9" borderId="0" xfId="26" applyFont="1" applyFill="1" applyAlignment="1">
      <alignment horizontal="center"/>
    </xf>
    <xf numFmtId="3" fontId="26" fillId="9" borderId="54" xfId="26" applyNumberFormat="1" applyFont="1" applyFill="1" applyBorder="1" applyAlignment="1">
      <alignment vertical="center"/>
    </xf>
    <xf numFmtId="3" fontId="26" fillId="9" borderId="54" xfId="26" applyNumberFormat="1" applyFont="1" applyFill="1" applyBorder="1" applyAlignment="1">
      <alignment horizontal="right" vertical="center"/>
    </xf>
    <xf numFmtId="0" fontId="26" fillId="9" borderId="54" xfId="26" applyFont="1" applyFill="1" applyBorder="1" applyAlignment="1">
      <alignment horizontal="right" vertical="center"/>
    </xf>
    <xf numFmtId="0" fontId="25" fillId="0" borderId="50" xfId="26" applyFont="1" applyBorder="1" applyAlignment="1">
      <alignment horizontal="right"/>
    </xf>
    <xf numFmtId="3" fontId="31" fillId="0" borderId="0" xfId="26" applyNumberFormat="1" applyFont="1" applyAlignment="1">
      <alignment horizontal="right"/>
    </xf>
    <xf numFmtId="0" fontId="31" fillId="0" borderId="0" xfId="26" applyFont="1" applyAlignment="1">
      <alignment horizontal="center"/>
    </xf>
    <xf numFmtId="0" fontId="31" fillId="0" borderId="0" xfId="26" applyFont="1" applyAlignment="1">
      <alignment horizontal="right"/>
    </xf>
    <xf numFmtId="0" fontId="29" fillId="0" borderId="0" xfId="26" applyFont="1" applyAlignment="1">
      <alignment horizontal="right"/>
    </xf>
    <xf numFmtId="2" fontId="30" fillId="0" borderId="0" xfId="26" applyNumberFormat="1" applyFont="1" applyAlignment="1">
      <alignment horizontal="center" vertical="center"/>
    </xf>
    <xf numFmtId="0" fontId="34" fillId="0" borderId="0" xfId="30">
      <alignment horizontal="centerContinuous" vertical="center"/>
    </xf>
    <xf numFmtId="0" fontId="35" fillId="0" borderId="0" xfId="0" applyFont="1"/>
    <xf numFmtId="0" fontId="36" fillId="0" borderId="0" xfId="0" applyFont="1"/>
    <xf numFmtId="0" fontId="35" fillId="0" borderId="26" xfId="0" applyFont="1" applyBorder="1"/>
    <xf numFmtId="14" fontId="37" fillId="0" borderId="26" xfId="0" applyNumberFormat="1" applyFont="1" applyBorder="1" applyAlignment="1">
      <alignment horizontal="center"/>
    </xf>
    <xf numFmtId="14" fontId="37" fillId="0" borderId="53" xfId="0" applyNumberFormat="1" applyFont="1" applyBorder="1" applyAlignment="1">
      <alignment horizontal="center"/>
    </xf>
    <xf numFmtId="0" fontId="38" fillId="0" borderId="0" xfId="0" applyFont="1"/>
    <xf numFmtId="3" fontId="35" fillId="0" borderId="0" xfId="0" applyNumberFormat="1" applyFont="1"/>
    <xf numFmtId="3" fontId="35" fillId="0" borderId="44" xfId="0" applyNumberFormat="1" applyFont="1" applyBorder="1"/>
    <xf numFmtId="0" fontId="38" fillId="0" borderId="1" xfId="0" applyFont="1" applyBorder="1"/>
    <xf numFmtId="3" fontId="35" fillId="0" borderId="1" xfId="0" applyNumberFormat="1" applyFont="1" applyBorder="1"/>
    <xf numFmtId="3" fontId="35" fillId="0" borderId="33" xfId="0" applyNumberFormat="1" applyFont="1" applyBorder="1"/>
    <xf numFmtId="0" fontId="37" fillId="0" borderId="0" xfId="0" applyFont="1"/>
    <xf numFmtId="0" fontId="35" fillId="0" borderId="1" xfId="0" applyFont="1" applyBorder="1"/>
    <xf numFmtId="0" fontId="35" fillId="0" borderId="44" xfId="0" applyFont="1" applyBorder="1"/>
    <xf numFmtId="9" fontId="35" fillId="0" borderId="0" xfId="4" applyFont="1"/>
    <xf numFmtId="10" fontId="35" fillId="0" borderId="0" xfId="4" applyNumberFormat="1" applyFont="1"/>
    <xf numFmtId="9" fontId="35" fillId="0" borderId="0" xfId="0" applyNumberFormat="1" applyFont="1"/>
    <xf numFmtId="3" fontId="35" fillId="0" borderId="28" xfId="0" applyNumberFormat="1" applyFont="1" applyBorder="1"/>
    <xf numFmtId="10" fontId="35" fillId="0" borderId="1" xfId="4" applyNumberFormat="1" applyFont="1" applyBorder="1"/>
    <xf numFmtId="9" fontId="35" fillId="0" borderId="1" xfId="0" applyNumberFormat="1" applyFont="1" applyBorder="1"/>
    <xf numFmtId="3" fontId="39" fillId="0" borderId="0" xfId="0" applyNumberFormat="1" applyFont="1"/>
    <xf numFmtId="174" fontId="39" fillId="0" borderId="0" xfId="0" applyNumberFormat="1" applyFont="1"/>
    <xf numFmtId="0" fontId="39" fillId="0" borderId="0" xfId="0" applyFont="1"/>
    <xf numFmtId="0" fontId="40" fillId="0" borderId="45" xfId="0" applyFont="1" applyBorder="1"/>
    <xf numFmtId="0" fontId="41" fillId="0" borderId="45" xfId="0" applyFont="1" applyBorder="1"/>
    <xf numFmtId="0" fontId="41" fillId="0" borderId="45" xfId="0" applyFont="1" applyBorder="1" applyAlignment="1">
      <alignment horizontal="center" wrapText="1"/>
    </xf>
    <xf numFmtId="0" fontId="41" fillId="0" borderId="46" xfId="0" applyFont="1" applyBorder="1" applyAlignment="1">
      <alignment horizontal="center" wrapText="1"/>
    </xf>
    <xf numFmtId="3" fontId="42" fillId="0" borderId="0" xfId="0" applyNumberFormat="1" applyFont="1"/>
    <xf numFmtId="10" fontId="43" fillId="0" borderId="0" xfId="4" applyNumberFormat="1" applyFont="1" applyFill="1"/>
    <xf numFmtId="9" fontId="43" fillId="0" borderId="0" xfId="4" applyFont="1" applyFill="1"/>
    <xf numFmtId="3" fontId="44" fillId="0" borderId="0" xfId="0" applyNumberFormat="1" applyFont="1"/>
    <xf numFmtId="9" fontId="45" fillId="0" borderId="0" xfId="4" applyFont="1" applyFill="1"/>
    <xf numFmtId="3" fontId="42" fillId="0" borderId="44" xfId="0" applyNumberFormat="1" applyFont="1" applyBorder="1"/>
    <xf numFmtId="10" fontId="44" fillId="0" borderId="0" xfId="4" applyNumberFormat="1" applyFont="1" applyFill="1"/>
    <xf numFmtId="3" fontId="44" fillId="0" borderId="44" xfId="0" applyNumberFormat="1" applyFont="1" applyBorder="1"/>
    <xf numFmtId="10" fontId="42" fillId="0" borderId="0" xfId="4" applyNumberFormat="1" applyFont="1" applyFill="1"/>
    <xf numFmtId="9" fontId="43" fillId="0" borderId="0" xfId="4" applyFont="1" applyFill="1" applyBorder="1"/>
    <xf numFmtId="9" fontId="45" fillId="0" borderId="0" xfId="4" applyFont="1" applyFill="1" applyBorder="1"/>
    <xf numFmtId="0" fontId="40" fillId="0" borderId="0" xfId="0" applyFont="1"/>
    <xf numFmtId="0" fontId="43" fillId="0" borderId="0" xfId="0" applyFont="1"/>
    <xf numFmtId="0" fontId="42" fillId="0" borderId="0" xfId="0" applyFont="1"/>
    <xf numFmtId="0" fontId="44" fillId="0" borderId="0" xfId="0" applyFont="1"/>
    <xf numFmtId="9" fontId="40" fillId="0" borderId="0" xfId="0" applyNumberFormat="1" applyFont="1"/>
    <xf numFmtId="10" fontId="40" fillId="0" borderId="0" xfId="0" applyNumberFormat="1" applyFont="1"/>
    <xf numFmtId="0" fontId="39" fillId="0" borderId="1" xfId="0" applyFont="1" applyBorder="1"/>
    <xf numFmtId="0" fontId="42" fillId="0" borderId="1" xfId="0" applyFont="1" applyBorder="1"/>
    <xf numFmtId="10" fontId="40" fillId="0" borderId="1" xfId="0" applyNumberFormat="1" applyFont="1" applyBorder="1"/>
    <xf numFmtId="0" fontId="43" fillId="0" borderId="1" xfId="0" applyFont="1" applyBorder="1"/>
    <xf numFmtId="3" fontId="42" fillId="0" borderId="1" xfId="0" applyNumberFormat="1" applyFont="1" applyBorder="1"/>
    <xf numFmtId="3" fontId="39" fillId="0" borderId="1" xfId="0" applyNumberFormat="1" applyFont="1" applyBorder="1"/>
    <xf numFmtId="9" fontId="40" fillId="0" borderId="1" xfId="0" applyNumberFormat="1" applyFont="1" applyBorder="1"/>
    <xf numFmtId="3" fontId="42" fillId="0" borderId="33" xfId="0" applyNumberFormat="1" applyFont="1" applyBorder="1"/>
    <xf numFmtId="9" fontId="43" fillId="0" borderId="1" xfId="0" applyNumberFormat="1" applyFont="1" applyBorder="1"/>
    <xf numFmtId="10" fontId="39" fillId="0" borderId="1" xfId="0" applyNumberFormat="1" applyFont="1" applyBorder="1"/>
    <xf numFmtId="0" fontId="41" fillId="0" borderId="0" xfId="0" applyFont="1"/>
    <xf numFmtId="3" fontId="41" fillId="0" borderId="0" xfId="0" applyNumberFormat="1" applyFont="1"/>
    <xf numFmtId="9" fontId="41" fillId="0" borderId="0" xfId="4" applyFont="1" applyFill="1"/>
    <xf numFmtId="0" fontId="41" fillId="0" borderId="44" xfId="0" applyFont="1" applyBorder="1"/>
    <xf numFmtId="174" fontId="39" fillId="0" borderId="44" xfId="25" applyNumberFormat="1" applyFont="1" applyFill="1" applyBorder="1"/>
    <xf numFmtId="174" fontId="39" fillId="0" borderId="0" xfId="25" applyNumberFormat="1" applyFont="1" applyFill="1" applyBorder="1"/>
    <xf numFmtId="174" fontId="39" fillId="0" borderId="0" xfId="25" applyNumberFormat="1" applyFont="1" applyFill="1"/>
    <xf numFmtId="10" fontId="39" fillId="0" borderId="0" xfId="4" applyNumberFormat="1" applyFont="1" applyFill="1"/>
    <xf numFmtId="174" fontId="41" fillId="0" borderId="0" xfId="0" applyNumberFormat="1" applyFont="1"/>
    <xf numFmtId="175" fontId="39" fillId="0" borderId="0" xfId="0" applyNumberFormat="1" applyFont="1"/>
    <xf numFmtId="164" fontId="39" fillId="0" borderId="0" xfId="4" applyNumberFormat="1" applyFont="1" applyFill="1"/>
    <xf numFmtId="174" fontId="41" fillId="0" borderId="0" xfId="25" applyNumberFormat="1" applyFont="1" applyFill="1"/>
    <xf numFmtId="164" fontId="41" fillId="0" borderId="0" xfId="0" applyNumberFormat="1" applyFont="1"/>
    <xf numFmtId="164" fontId="41" fillId="0" borderId="0" xfId="4" applyNumberFormat="1" applyFont="1" applyFill="1"/>
    <xf numFmtId="14" fontId="37" fillId="0" borderId="0" xfId="0" applyNumberFormat="1" applyFont="1" applyAlignment="1">
      <alignment horizontal="center"/>
    </xf>
    <xf numFmtId="14" fontId="37" fillId="0" borderId="44" xfId="0" applyNumberFormat="1" applyFont="1" applyBorder="1" applyAlignment="1">
      <alignment horizontal="center"/>
    </xf>
    <xf numFmtId="3" fontId="37" fillId="0" borderId="0" xfId="0" applyNumberFormat="1" applyFont="1"/>
    <xf numFmtId="0" fontId="40" fillId="0" borderId="0" xfId="0" applyFont="1" applyAlignment="1">
      <alignment horizontal="center"/>
    </xf>
    <xf numFmtId="175" fontId="39" fillId="0" borderId="0" xfId="29" applyNumberFormat="1" applyFont="1" applyFill="1" applyBorder="1"/>
    <xf numFmtId="175" fontId="41" fillId="0" borderId="0" xfId="0" applyNumberFormat="1" applyFont="1"/>
    <xf numFmtId="9" fontId="41" fillId="0" borderId="0" xfId="0" applyNumberFormat="1" applyFont="1"/>
    <xf numFmtId="175" fontId="41" fillId="0" borderId="0" xfId="29" applyNumberFormat="1" applyFont="1" applyFill="1" applyBorder="1"/>
    <xf numFmtId="174" fontId="41" fillId="0" borderId="0" xfId="25" applyNumberFormat="1" applyFont="1" applyFill="1" applyBorder="1"/>
    <xf numFmtId="9" fontId="41" fillId="0" borderId="0" xfId="4" applyFont="1" applyFill="1" applyBorder="1"/>
    <xf numFmtId="174" fontId="46" fillId="0" borderId="0" xfId="0" applyNumberFormat="1" applyFont="1"/>
    <xf numFmtId="44" fontId="39" fillId="0" borderId="0" xfId="29" applyFont="1" applyFill="1" applyBorder="1"/>
    <xf numFmtId="43" fontId="39" fillId="0" borderId="0" xfId="25" applyFont="1" applyFill="1" applyBorder="1"/>
    <xf numFmtId="0" fontId="39" fillId="0" borderId="0" xfId="25" applyNumberFormat="1" applyFont="1" applyFill="1" applyAlignment="1">
      <alignment horizontal="left"/>
    </xf>
    <xf numFmtId="0" fontId="39" fillId="0" borderId="0" xfId="0" applyFont="1" applyAlignment="1">
      <alignment horizontal="left"/>
    </xf>
    <xf numFmtId="9" fontId="39" fillId="0" borderId="0" xfId="0" applyNumberFormat="1" applyFont="1"/>
    <xf numFmtId="164" fontId="39" fillId="0" borderId="0" xfId="4" applyNumberFormat="1" applyFont="1" applyBorder="1"/>
    <xf numFmtId="14" fontId="39" fillId="0" borderId="0" xfId="0" applyNumberFormat="1" applyFont="1"/>
    <xf numFmtId="164" fontId="39" fillId="0" borderId="0" xfId="0" applyNumberFormat="1" applyFont="1"/>
    <xf numFmtId="0" fontId="37" fillId="0" borderId="26" xfId="0" applyFont="1" applyBorder="1"/>
    <xf numFmtId="3" fontId="35" fillId="0" borderId="0" xfId="0" quotePrefix="1" applyNumberFormat="1" applyFont="1"/>
    <xf numFmtId="0" fontId="39" fillId="0" borderId="1" xfId="0" applyFont="1" applyBorder="1" applyAlignment="1">
      <alignment horizontal="left"/>
    </xf>
    <xf numFmtId="3" fontId="27" fillId="8" borderId="49" xfId="26" applyNumberFormat="1" applyFont="1" applyFill="1" applyBorder="1" applyAlignment="1">
      <alignment horizontal="center" vertical="center"/>
    </xf>
    <xf numFmtId="3" fontId="27" fillId="8" borderId="49" xfId="19" applyNumberFormat="1" applyFont="1" applyFill="1" applyBorder="1" applyAlignment="1">
      <alignment horizontal="center" vertical="center"/>
    </xf>
    <xf numFmtId="3" fontId="37" fillId="0" borderId="26" xfId="0" applyNumberFormat="1" applyFont="1" applyBorder="1"/>
    <xf numFmtId="3" fontId="36" fillId="0" borderId="0" xfId="0" applyNumberFormat="1" applyFont="1"/>
  </cellXfs>
  <cellStyles count="31">
    <cellStyle name="2. Heading (Sub)" xfId="30" xr:uid="{E97CC5D9-4B9F-4613-905D-6953A8F87424}"/>
    <cellStyle name="Comma" xfId="25" builtinId="3"/>
    <cellStyle name="Currency" xfId="29" builtinId="4"/>
    <cellStyle name="Hyperlink" xfId="5" builtinId="8"/>
    <cellStyle name="Normal" xfId="0" builtinId="0"/>
    <cellStyle name="Normal 10" xfId="22" xr:uid="{7D2A1B12-0D83-4D7F-A069-40BF9A6F22AC}"/>
    <cellStyle name="Normal 10 2" xfId="26" xr:uid="{1604B66E-61C0-4604-A5BE-4E4C79B0586C}"/>
    <cellStyle name="Normal 2" xfId="1" xr:uid="{00000000-0005-0000-0000-000001000000}"/>
    <cellStyle name="Normal 3" xfId="6" xr:uid="{FE7BAEBF-A46C-42E5-B48B-F853EB4A268F}"/>
    <cellStyle name="Normal 4" xfId="9" xr:uid="{552C6015-BAF6-490A-A547-233F4C60C73B}"/>
    <cellStyle name="Normal 5" xfId="11" xr:uid="{507E91D6-5BF8-4086-8896-3AF762D21262}"/>
    <cellStyle name="Normal 6" xfId="12" xr:uid="{1450B404-CA7A-4F28-86AB-A2C7CD643A58}"/>
    <cellStyle name="Normal 7" xfId="15" xr:uid="{9B04CD65-C31B-45D5-8835-876FC846D0DF}"/>
    <cellStyle name="Normal 8" xfId="16" xr:uid="{1CE900D0-625A-4EB7-A562-016D36AB476A}"/>
    <cellStyle name="Normal 9" xfId="19" xr:uid="{F506DA39-A2A8-4A4D-AF55-C88D2BB34914}"/>
    <cellStyle name="Percent" xfId="4" builtinId="5"/>
    <cellStyle name="Procent 2" xfId="3" xr:uid="{00000000-0005-0000-0000-000003000000}"/>
    <cellStyle name="Procent 3" xfId="7" xr:uid="{E8CD8DE8-02C2-42A8-B249-D731269A3209}"/>
    <cellStyle name="Procent 4" xfId="10" xr:uid="{7C7293CE-2D27-40A9-9867-14EB9F641D18}"/>
    <cellStyle name="Procent 5" xfId="13" xr:uid="{09201188-0735-446C-9065-D79351C0C1C5}"/>
    <cellStyle name="Procent 6" xfId="17" xr:uid="{BF03420C-6A32-4EFC-BC28-2381AE31443F}"/>
    <cellStyle name="Procent 7" xfId="20" xr:uid="{A1BD7FDF-E330-46B8-8490-5DD4B5309325}"/>
    <cellStyle name="Procent 8" xfId="24" xr:uid="{C06BB348-DED0-491C-A3C3-22052AE41646}"/>
    <cellStyle name="Procent 8 2" xfId="28" xr:uid="{91FCA07A-70FA-493D-A586-932D699DB659}"/>
    <cellStyle name="Tusental 2" xfId="2" xr:uid="{00000000-0005-0000-0000-000005000000}"/>
    <cellStyle name="Tusental 3" xfId="8" xr:uid="{551D437B-0AB5-48BE-8B32-981E93BFB0E1}"/>
    <cellStyle name="Tusental 4" xfId="21" xr:uid="{D6EFEC96-4DC4-4C1D-B79E-2E5E9009381C}"/>
    <cellStyle name="Tusental 5" xfId="23" xr:uid="{353DD120-2E15-4306-A106-590AA1D8600A}"/>
    <cellStyle name="Tusental 5 2" xfId="27" xr:uid="{7FC55932-ED1F-4200-BEC6-C900FBAACD64}"/>
    <cellStyle name="Valuta 2" xfId="14" xr:uid="{6A0A8E56-B277-4D43-AA7C-0620294456CC}"/>
    <cellStyle name="Valuta 3" xfId="18" xr:uid="{0212F0E1-C661-4747-8AB4-3BAA76C4C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9-4ED5-B1C2-7B7CF22CEC66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9-4ED5-B1C2-7B7CF22CEC66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99-4ED5-B1C2-7B7CF22CEC66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99-4ED5-B1C2-7B7CF22CEC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'[18]Apartment list'!$S$34:$S$37</c:f>
              <c:numCache>
                <c:formatCode>General</c:formatCode>
                <c:ptCount val="4"/>
                <c:pt idx="0">
                  <c:v>0.26987951807228916</c:v>
                </c:pt>
                <c:pt idx="1">
                  <c:v>0.48915662650602409</c:v>
                </c:pt>
                <c:pt idx="2">
                  <c:v>0.12289156626506025</c:v>
                </c:pt>
                <c:pt idx="3">
                  <c:v>0.1180722891566265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99-4ED5-B1C2-7B7CF22CE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D-4671-82BD-DD3BEFC9ECD8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D-4671-82BD-DD3BEFC9ECD8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D-4671-82BD-DD3BEFC9ECD8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D-4671-82BD-DD3BEFC9E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'Apartment list (old)'!$Q$34:$Q$37</c:f>
              <c:numCache>
                <c:formatCode>0%</c:formatCode>
                <c:ptCount val="4"/>
                <c:pt idx="0">
                  <c:v>0.3175</c:v>
                </c:pt>
                <c:pt idx="1">
                  <c:v>0.39250000000000002</c:v>
                </c:pt>
                <c:pt idx="2">
                  <c:v>0.22750000000000001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9D-4671-82BD-DD3BEFC9EC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360361</xdr:colOff>
      <xdr:row>43</xdr:row>
      <xdr:rowOff>89959</xdr:rowOff>
    </xdr:from>
    <xdr:to>
      <xdr:col>19</xdr:col>
      <xdr:colOff>957790</xdr:colOff>
      <xdr:row>64</xdr:row>
      <xdr:rowOff>26987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4EF952-620A-4FC8-8550-5AEE711A8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360361</xdr:colOff>
      <xdr:row>40</xdr:row>
      <xdr:rowOff>89959</xdr:rowOff>
    </xdr:from>
    <xdr:to>
      <xdr:col>17</xdr:col>
      <xdr:colOff>957790</xdr:colOff>
      <xdr:row>61</xdr:row>
      <xdr:rowOff>26987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4B6375-0A1E-400C-8066-2114318B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office%20space%20beechwo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BQ_NT8\Finance\rachel\Board%20Report\Board%20report-New\Bdrpt2000\October\Board%20Report-Oct\ma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les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dldnc005pn2\_STRAUBBE$\Finance\managers\Actl04\clo1104\CE1104\Noth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joakimarvius\Library\Mail%20Downloads\susny736\pdmsdirs\Transfer\02-tues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\EXCISE\Factsheets\BOARD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Comps-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bd-msr\msref\Lorenzo\Master%20Masseto%20-%20Phase%203%20-%2018.03.02%20-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lehn\EXCEL\JA%202003\MIETFW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Docs%20Roman&#233;e%20+%20Margaux\TanguyC\TANGUY\TanguyC\BRITAN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rporate%20Finance\Eiendom\Sektor%20Gruppen%20Eiendom\2015\Excel\Modell%2026%20februar\SEU\Economy\Prosjekt\Kjop%20og%20salg\2014\2014-02%20Niam%20Option\SP1%20Storbyen%20Develop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ZSVXD4E001\Groups\Sverige\Arb%20Filer\AKTIVA%20UPPDRAG\Citycon\Project%20NAME\20150512_Tiger%20Prop%20Model_JP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\H&amp;L\Hilton\Jan%2004\multiple%20tren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office%20space%20beechwood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smfastigheter.sharepoint.com/Users/olaper/AppData/Local/Microsoft/Windows/Temporary%20Internet%20Files/Content.IE5/I37Q32FN/2+Slutkostnadsprogn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44\Desktop\Debt-Schedules-Optional-After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r4ab.sharepoint.com/sites/Ombrella/Delade%20dokument/Fredrik%20Konsult/Ares/Skicka%20till%20Ares%20v.2/Huddinge%20station,%20Tingshuset,%20cash%20flow%2090%25%20LTC%20to%20Ares%20uppdaterad%202025-03-03.xlsx" TargetMode="External"/><Relationship Id="rId1" Type="http://schemas.openxmlformats.org/officeDocument/2006/relationships/externalLinkPath" Target="https://cor4ab.sharepoint.com/sites/Ombrella/Delade%20dokument/Fredrik%20Konsult/Ares/Skicka%20till%20Ares%20v.2/Huddinge%20station,%20Tingshuset,%20cash%20flow%2090%25%20LTC%20to%20Ares%20uppdaterad%202025-03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less"/>
      <sheetName val="Cust List"/>
      <sheetName val="TELEWEST"/>
      <sheetName val="PRIMACOM"/>
      <sheetName val="COMCAST"/>
      <sheetName val="TELE2"/>
      <sheetName val="Sheet1"/>
      <sheetName val="Sheet2"/>
      <sheetName val="Sheet3"/>
      <sheetName val="RU info matrix"/>
      <sheetName val="BEV"/>
      <sheetName val="Index"/>
      <sheetName val="Country premiums"/>
      <sheetName val="COBI"/>
      <sheetName val="External"/>
      <sheetName val="Below EBITDA"/>
      <sheetName val="BR IRL CR P&amp;L"/>
      <sheetName val="Bal Sheet"/>
      <sheetName val="BS P&amp;L"/>
      <sheetName val="CS P&amp;L"/>
      <sheetName val="HM P&amp;L"/>
      <sheetName val="HM Phased"/>
      <sheetName val="IT P&amp;L"/>
      <sheetName val="Wholesale"/>
      <sheetName val="NW P&amp;L"/>
      <sheetName val="Opex Divs"/>
      <sheetName val="P&amp;L Divs"/>
      <sheetName val="Phased"/>
      <sheetName val="Non recurring"/>
      <sheetName val="Control Sheet"/>
      <sheetName val="Control"/>
      <sheetName val="LBO"/>
      <sheetName val="Projections"/>
      <sheetName val="Legal Entity and Accountant"/>
      <sheetName val="Days summary"/>
      <sheetName val="by dept"/>
      <sheetName val="MEX95IB"/>
      <sheetName val="Table000208"/>
      <sheetName val="Trans Type"/>
      <sheetName val="Data"/>
      <sheetName val="Feeder for Fixed BN"/>
      <sheetName val="Feeder for Fixed Corporate2014"/>
      <sheetName val="Feeder for Fixed SME2014"/>
      <sheetName val="Feeder for Fixed Dealer2014"/>
      <sheetName val="Feeder for Fixed SMB2014"/>
      <sheetName val="Feeder for Fixed Operator2014"/>
      <sheetName val="Feeder for Fixed SI2014 "/>
      <sheetName val="Product feed"/>
      <sheetName val="Revenue at Risk"/>
      <sheetName val="Firmen"/>
      <sheetName val="Cust_List"/>
      <sheetName val="RU_info_matrix"/>
      <sheetName val="Country_premiums"/>
      <sheetName val="Below_EBITDA"/>
      <sheetName val="BR_IRL_CR_P&amp;L"/>
      <sheetName val="Bal_Sheet"/>
      <sheetName val="BS_P&amp;L"/>
      <sheetName val="CS_P&amp;L"/>
      <sheetName val="HM_P&amp;L"/>
      <sheetName val="HM_Phased"/>
      <sheetName val="IT_P&amp;L"/>
      <sheetName val="NW_P&amp;L"/>
      <sheetName val="Opex_Divs"/>
      <sheetName val="P&amp;L_Divs"/>
      <sheetName val="Non_recurring"/>
      <sheetName val="Control_Sheet"/>
      <sheetName val="Legal_Entity_and_Accountant"/>
      <sheetName val="Days_summary"/>
      <sheetName val="by_dept"/>
      <sheetName val="Trans_Type"/>
      <sheetName val="Feeder_for_Fixed_BN"/>
      <sheetName val="Feeder_for_Fixed_Corporate2014"/>
      <sheetName val="Feeder_for_Fixed_SME2014"/>
      <sheetName val="Feeder_for_Fixed_Dealer2014"/>
      <sheetName val="Feeder_for_Fixed_SMB2014"/>
      <sheetName val="Feeder_for_Fixed_Operator2014"/>
      <sheetName val="Feeder_for_Fixed_SI2014_"/>
      <sheetName val="Product_feed"/>
      <sheetName val="Categorization"/>
      <sheetName val="P"/>
      <sheetName val="Combined Divisionals"/>
      <sheetName val="P&amp;L Tables For Report"/>
      <sheetName val="CHARTS for report"/>
      <sheetName val="SOP"/>
      <sheetName val="Sum"/>
      <sheetName val="Apr09 BS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WEEKLYVLS"/>
      <sheetName val="ACTUALS"/>
      <sheetName val="KPIs V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t"/>
      <sheetName val="Sheet1"/>
      <sheetName val="%govtax"/>
      <sheetName val="FST graphs"/>
      <sheetName val="BOARDNEW"/>
      <sheetName val="D1+2"/>
      <sheetName val="D3"/>
      <sheetName val="E2"/>
      <sheetName val="F1"/>
      <sheetName val="G2&amp;g3 "/>
      <sheetName val="J1"/>
      <sheetName val="M1"/>
      <sheetName val="tax 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over Page"/>
      <sheetName val="Scenario"/>
      <sheetName val="Print Master"/>
      <sheetName val="Perimeter Eyechart"/>
      <sheetName val="Output(EyeChart)"/>
      <sheetName val="Dispo Schedule"/>
      <sheetName val="ROLLUP"/>
      <sheetName val="Next Buyer analysis"/>
      <sheetName val="-- New Model --&gt;"/>
      <sheetName val="Main"/>
      <sheetName val="Returns"/>
      <sheetName val="Semi-An Unlevered"/>
      <sheetName val="CFS Summary"/>
      <sheetName val="Levered WaterFall"/>
      <sheetName val="Equity Partner Distribution"/>
      <sheetName val="Post Post"/>
      <sheetName val="Book Value"/>
      <sheetName val="Comps"/>
      <sheetName val="-- Underwriting Outputs --&gt;"/>
      <sheetName val="Cover"/>
      <sheetName val="Annual CF"/>
      <sheetName val="Description"/>
      <sheetName val="Rent Roll"/>
      <sheetName val="Semi-An CF"/>
      <sheetName val="Semi-An CF (0)"/>
      <sheetName val="Lease Flows"/>
      <sheetName val="Sum Lease Flows"/>
      <sheetName val="Baskets"/>
      <sheetName val="-- Underwriting Inputs --&gt;"/>
      <sheetName val="Input"/>
      <sheetName val="Pre-InputPage"/>
      <sheetName val="From Lease DB"/>
      <sheetName val="Lazard Database"/>
      <sheetName val="Sqm Expiry by Type"/>
      <sheetName val="Do Not Delete ==&gt;"/>
      <sheetName val="Semi-An CF (1)"/>
      <sheetName val="Semi-An CF (2)"/>
      <sheetName val="Semi-An CF (3)"/>
      <sheetName val="Semi-An CF (4)"/>
      <sheetName val="Semi-An CF (5)"/>
      <sheetName val="Semi-An CF (6)"/>
      <sheetName val="Semi-An CF (7)"/>
      <sheetName val="Semi-An CF (8)"/>
      <sheetName val="Semi-An CF (9)"/>
      <sheetName val="Semi-An CF (10)"/>
      <sheetName val="Semi-An CF (11)"/>
      <sheetName val="Semi-An CF (12)"/>
      <sheetName val="Semi-An CF (13)"/>
      <sheetName val="Semi-An CF (14)"/>
      <sheetName val="Semi-An CF (15)"/>
      <sheetName val="Semi-An CF (16)"/>
      <sheetName val="Semi-An CF (17)"/>
      <sheetName val="Semi-An CF (18)"/>
      <sheetName val="Semi-An CF (19)"/>
      <sheetName val="Semi-An CF (20)"/>
      <sheetName val="Semi-An CF (21)"/>
      <sheetName val="Semi-An CF (22)"/>
      <sheetName val="Semi-An CF (23)"/>
      <sheetName val="Semi-An CF (24)"/>
      <sheetName val="Semi-An CF (25)"/>
      <sheetName val="Semi-An CF (26)"/>
      <sheetName val="Semi-An CF (27)"/>
      <sheetName val="Semi-An CF (28)"/>
      <sheetName val="Semi-An CF (29)"/>
      <sheetName val="Semi-An CF (30)"/>
      <sheetName val="Semi-An CF (31)"/>
      <sheetName val="Semi-An CF (32)"/>
      <sheetName val="Semi-An CF (33)"/>
      <sheetName val="Semi-An CF (34)"/>
      <sheetName val="Semi-An CF (35)"/>
      <sheetName val="Semi-An CF (36)"/>
      <sheetName val="Semi-An CF (37)"/>
      <sheetName val="Semi-An CF (38)"/>
      <sheetName val="Semi-An CF (39)"/>
      <sheetName val="Semi-An CF (40)"/>
      <sheetName val="Semi-An CF (41)"/>
      <sheetName val="Semi-An CF (42)"/>
      <sheetName val="Semi-An CF (43)"/>
      <sheetName val="Semi-An CF (44)"/>
      <sheetName val="Semi-An CF (45)"/>
      <sheetName val="Semi-An CF (46)"/>
      <sheetName val="Semi-An CF (47)"/>
      <sheetName val="Semi-An CF (48)"/>
      <sheetName val="Semi-An CF (49)"/>
      <sheetName val="Semi-An CF (50)"/>
      <sheetName val="Semi-An CF (51)"/>
      <sheetName val="Semi-An CF (52)"/>
      <sheetName val="Semi-An CF (53)"/>
      <sheetName val="Semi-An CF (54)"/>
      <sheetName val="Semi-An CF (55)"/>
      <sheetName val="Semi-An CF (56)"/>
      <sheetName val="Semi-An CF (57)"/>
      <sheetName val="Semi-An CF (58)"/>
      <sheetName val="Semi-An CF (59)"/>
      <sheetName val="Semi-An CF (60)"/>
      <sheetName val="Semi-An CF (61)"/>
      <sheetName val="Semi-An CF (62)"/>
      <sheetName val="Semi-An CF (63)"/>
      <sheetName val="Semi-An CF (64)"/>
      <sheetName val="Semi-An CF (65)"/>
      <sheetName val="Semi-An CF (66)"/>
      <sheetName val="Semi-An CF (67)"/>
      <sheetName val="Semi-An CF (68)"/>
      <sheetName val="Semi-An CF (69)"/>
      <sheetName val="Semi-An CF (70)"/>
      <sheetName val="Semi-An CF (71)"/>
      <sheetName val="Semi-An CF (72)"/>
      <sheetName val="Semi-An CF (73)"/>
      <sheetName val="Semi-An CF (74)"/>
      <sheetName val="Semi-An CF (75)"/>
      <sheetName val="Semi-An CF (76)"/>
      <sheetName val="Semi-An CF (77)"/>
      <sheetName val="Semi-An CF (78)"/>
      <sheetName val="Semi-An CF (79)"/>
      <sheetName val="Semi-An CF (80)"/>
      <sheetName val="Semi-An CF (81)"/>
      <sheetName val="Semi-An CF (82)"/>
      <sheetName val="Semi-An CF (83)"/>
      <sheetName val="Semi-An CF (84)"/>
      <sheetName val="Semi-An CF (85)"/>
      <sheetName val="Semi-An CF (86)"/>
      <sheetName val="Semi-An CF (87)"/>
      <sheetName val="Semi-An CF (88)"/>
      <sheetName val="Semi-An CF (89)"/>
      <sheetName val="Semi-An CF (90)"/>
      <sheetName val="Semi-An CF (91)"/>
      <sheetName val="Semi-An CF (92)"/>
      <sheetName val="Semi-An CF (93)"/>
      <sheetName val="Semi-An CF (94)"/>
      <sheetName val="Semi-An CF (95)"/>
      <sheetName val="Semi-An CF (96)"/>
      <sheetName val="Semi-An CF (97)"/>
      <sheetName val="Semi-An CF (98)"/>
      <sheetName val="Semi-An CF (99)"/>
      <sheetName val="Semi-An CF (100)"/>
      <sheetName val="Semi-An CF (101)"/>
      <sheetName val="Semi-An CF (102)"/>
      <sheetName val="Semi-An CF (103)"/>
      <sheetName val="Semi-An CF (104)"/>
      <sheetName val="Semi-An CF (105)"/>
      <sheetName val="Semi-An CF (106)"/>
      <sheetName val="Semi-An CF (107)"/>
      <sheetName val="Semi-An CF (108)"/>
      <sheetName val="Semi-An CF (109)"/>
      <sheetName val="Semi-An CF (110)"/>
      <sheetName val="Semi-An CF (111)"/>
      <sheetName val="Semi-An CF (112)"/>
      <sheetName val="Fund Model Cover"/>
      <sheetName val="Param"/>
      <sheetName val="MainMenu"/>
      <sheetName val="AssetSelection"/>
      <sheetName val="DataEntrySQL"/>
      <sheetName val="Input Table"/>
      <sheetName val="Input Sensitivity"/>
      <sheetName val="OutputPage_03"/>
      <sheetName val="OutputPage_02"/>
      <sheetName val="OutputPage_01"/>
      <sheetName val="OutputPages"/>
      <sheetName val="Output Sensitivity"/>
      <sheetName val="Fund Assumptions"/>
      <sheetName val="Graph Summary"/>
      <sheetName val="Switch Control"/>
      <sheetName val="MarketRents"/>
      <sheetName val="MarketRents(MX)"/>
      <sheetName val="Potential"/>
      <sheetName val="Potential(MX)"/>
      <sheetName val="Rents"/>
      <sheetName val="Rents(MX)"/>
      <sheetName val="RecoveredSC"/>
      <sheetName val="RecoveredSC(MX)"/>
      <sheetName val="TotalRecoverable"/>
      <sheetName val="TotalRecoverable(MX)"/>
      <sheetName val="ICI"/>
      <sheetName val="ICI(MX)"/>
      <sheetName val="Insurance"/>
      <sheetName val="Insurance(MX)"/>
      <sheetName val="PropertyMngt"/>
      <sheetName val="PropertyMngt(MX)"/>
      <sheetName val="AgencyFeeOnRents"/>
      <sheetName val="AgencyFeeOnRents(MX)"/>
      <sheetName val="OtherOrdinaryCosts"/>
      <sheetName val="OtherOrdinaryCosts(MX)"/>
      <sheetName val="MarketingCosts"/>
      <sheetName val="MarketingCosts(MX)"/>
      <sheetName val="Capex"/>
      <sheetName val="Capex(MX)"/>
      <sheetName val="TI"/>
      <sheetName val="TI(MX)"/>
      <sheetName val="AfDc"/>
      <sheetName val="Investor Purchase Price"/>
      <sheetName val="Implied OMV (MS)"/>
      <sheetName val="Capital Gain(MS)"/>
      <sheetName val="Capital Gain_(Loss)"/>
      <sheetName val="Dispo Value"/>
      <sheetName val="I.Chart"/>
      <sheetName val="Debt"/>
      <sheetName val="IMSER Valuation"/>
      <sheetName val="CCN"/>
      <sheetName val="Single Asset Unlevered CF"/>
      <sheetName val="Fund Unlevered CF"/>
      <sheetName val="Fund Levered CF"/>
      <sheetName val="Sheet1"/>
      <sheetName val="Fund Summary Balance Sheet"/>
      <sheetName val="Trend Analysis"/>
      <sheetName val="Income Statement &amp; BS Account"/>
      <sheetName val="Success Fees SGR"/>
      <sheetName val="OutputPlus"/>
      <sheetName val="OutputPlusNoRotation"/>
      <sheetName val="Appendix - Model Assumptions"/>
      <sheetName val="Appendix - Tenant Schedule"/>
      <sheetName val="Appendix D - Asset Database"/>
      <sheetName val="Appendix - Portfolio Summary"/>
      <sheetName val="Appendix Vacant"/>
      <sheetName val="Appendix -Tenant Concen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VIA ASSAROTTI 13</v>
          </cell>
        </row>
        <row r="13">
          <cell r="C13" t="str">
            <v>PZA BELTRADE 1</v>
          </cell>
          <cell r="D13">
            <v>1</v>
          </cell>
          <cell r="E13" t="str">
            <v>MILAN</v>
          </cell>
          <cell r="F13" t="str">
            <v>CommercialPS</v>
          </cell>
          <cell r="G13">
            <v>2633858889.8876586</v>
          </cell>
          <cell r="H13">
            <v>0.11866056733946583</v>
          </cell>
          <cell r="I13">
            <v>13199.375241999998</v>
          </cell>
          <cell r="J13">
            <v>13579.400233959957</v>
          </cell>
          <cell r="K13">
            <v>7557.9573538455506</v>
          </cell>
          <cell r="L13">
            <v>1896.05</v>
          </cell>
          <cell r="M13">
            <v>1924.8678881544479</v>
          </cell>
          <cell r="N13">
            <v>0</v>
          </cell>
          <cell r="O13">
            <v>0</v>
          </cell>
          <cell r="P13">
            <v>1820.5</v>
          </cell>
          <cell r="Q13">
            <v>0</v>
          </cell>
          <cell r="R13">
            <v>675000</v>
          </cell>
          <cell r="S13">
            <v>6.5000000000000002E-2</v>
          </cell>
          <cell r="T13">
            <v>9.9975010430730871E-2</v>
          </cell>
          <cell r="U13">
            <v>3313257840.1348996</v>
          </cell>
          <cell r="V13">
            <v>0.96780079237783545</v>
          </cell>
          <cell r="W13">
            <v>5.0513451959497496E-2</v>
          </cell>
          <cell r="X13" t="str">
            <v>Visited&amp;Reviewed (Abaco)</v>
          </cell>
          <cell r="Y13">
            <v>4.6100000000000002E-2</v>
          </cell>
          <cell r="Z13">
            <v>5.6884946291294094</v>
          </cell>
          <cell r="AA13">
            <v>8652580.9896984342</v>
          </cell>
          <cell r="AB13">
            <v>4</v>
          </cell>
          <cell r="AC13">
            <v>105511151197.52663</v>
          </cell>
          <cell r="AD13">
            <v>7993647.3706568675</v>
          </cell>
          <cell r="AE13" t="str">
            <v>Standard - Rent Capitalisation</v>
          </cell>
          <cell r="AF13">
            <v>0.11866056733946583</v>
          </cell>
          <cell r="AG13">
            <v>0</v>
          </cell>
          <cell r="AI13">
            <v>114208663294.82535</v>
          </cell>
          <cell r="AJ13">
            <v>113066576661.87709</v>
          </cell>
          <cell r="AK13">
            <v>0</v>
          </cell>
          <cell r="AL13">
            <v>0</v>
          </cell>
          <cell r="AM13">
            <v>0</v>
          </cell>
          <cell r="AN13">
            <v>-3123718695.2392678</v>
          </cell>
          <cell r="AO13">
            <v>9303359696.1877117</v>
          </cell>
          <cell r="AP13">
            <v>74292385010.548141</v>
          </cell>
          <cell r="AQ13">
            <v>5470962.1728914436</v>
          </cell>
          <cell r="AR13">
            <v>-1147662849.0176866</v>
          </cell>
          <cell r="AS13">
            <v>-1152205195.561182</v>
          </cell>
          <cell r="AT13">
            <v>-1159212719.5579119</v>
          </cell>
          <cell r="AU13">
            <v>-1163786078.0566916</v>
          </cell>
          <cell r="AV13">
            <v>-1171400902.691401</v>
          </cell>
          <cell r="AW13">
            <v>-1176005738.3247943</v>
          </cell>
          <cell r="AX13">
            <v>-1183929509.8686645</v>
          </cell>
          <cell r="AY13">
            <v>-1188566294.7936907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76114034291.00679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-122451194.11158644</v>
          </cell>
          <cell r="CO13">
            <v>-123366159.71750002</v>
          </cell>
          <cell r="CP13">
            <v>-124287962.02326025</v>
          </cell>
          <cell r="CQ13">
            <v>-125216652.11326255</v>
          </cell>
          <cell r="CR13">
            <v>-126152281.45360918</v>
          </cell>
          <cell r="CS13">
            <v>-127094901.89496149</v>
          </cell>
          <cell r="CT13">
            <v>-128044565.67541333</v>
          </cell>
          <cell r="CU13">
            <v>-129001325.42338592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 t="str">
            <v>ITL</v>
          </cell>
          <cell r="DM13">
            <v>1</v>
          </cell>
          <cell r="DN13">
            <v>1459493168.6960518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FWW"/>
      <sheetName val="Krone"/>
      <sheetName val="Austria"/>
      <sheetName val="MIETTW"/>
      <sheetName val="MIETMEYE"/>
      <sheetName val="Zahlung zum 20.04.1998"/>
      <sheetName val="MIETAUS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byen"/>
      <sheetName val="SP1 Storbyen Development"/>
    </sheetNames>
    <definedNames>
      <definedName name="Buroflache" refersTo="#REF!"/>
      <definedName name="Bürofläche" refersTo="#REF!"/>
      <definedName name="de" refersTo="#REF!"/>
      <definedName name="ds" refersTo="#REF!"/>
      <definedName name="Ladenfläche" refersTo="#REF!"/>
      <definedName name="Ladenflächefrei" refersTo="#REF!"/>
      <definedName name="Lagerfläche" refersTo="#REF!"/>
      <definedName name="Lagerflächefrei" refersTo="#REF!"/>
      <definedName name="m" refersTo="#REF!"/>
      <definedName name="MarktmieteBüro" refersTo="#REF!"/>
      <definedName name="MarktmieteLaden" refersTo="#REF!"/>
      <definedName name="MarktmieteLager" refersTo="#REF!"/>
      <definedName name="MarktmieteService" refersTo="#REF!"/>
      <definedName name="MarktmieteWohnen" refersTo="#REF!"/>
      <definedName name="MieteJahr1" refersTo="#REF!"/>
      <definedName name="ole" refersTo="#REF!"/>
      <definedName name="PotentielleMiete" refersTo="#REF!"/>
      <definedName name="q" refersTo="#REF!"/>
      <definedName name="Servicefläche" refersTo="#REF!"/>
      <definedName name="Serviceflächefrei" refersTo="#REF!"/>
      <definedName name="Wohnenfläche" refersTo="#REF!"/>
      <definedName name="Wohnenflächefrei" refersTo="#REF!"/>
      <definedName name="wolf" refersTo="#REF!"/>
      <definedName name="x" refersTo="#REF!"/>
    </defined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--&gt;"/>
      <sheetName val="IS Consolidated"/>
      <sheetName val="Misc output"/>
      <sheetName val="IRR output"/>
      <sheetName val="Returns"/>
      <sheetName val="IS SP II"/>
      <sheetName val="IS Rented"/>
      <sheetName val="IS SP I"/>
      <sheetName val="Asset CF"/>
      <sheetName val="Calculations --&gt;"/>
      <sheetName val="Assumptions"/>
      <sheetName val="Property Underwriting"/>
      <sheetName val="Rent roll"/>
      <sheetName val="Tenant CF"/>
      <sheetName val="Property CF"/>
      <sheetName val="Tax"/>
      <sheetName val="Future investments"/>
      <sheetName val="Input from Sektor --&gt;"/>
      <sheetName val="Input sheet - EY"/>
      <sheetName val="HQ costs"/>
      <sheetName val="SPV Budgets"/>
      <sheetName val="Rent budget"/>
      <sheetName val="Rent roll_input"/>
      <sheetName val="Upside pot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H21" t="str">
            <v>Sektor Portefølje Syd</v>
          </cell>
        </row>
        <row r="22">
          <cell r="H22" t="str">
            <v>Sektor Portefølje I</v>
          </cell>
        </row>
        <row r="23">
          <cell r="H23" t="str">
            <v>Sektor Portefølje III</v>
          </cell>
        </row>
      </sheetData>
      <sheetData sheetId="12">
        <row r="6">
          <cell r="K6" t="str">
            <v>Lease contract</v>
          </cell>
        </row>
        <row r="7">
          <cell r="K7" t="str">
            <v>Investment</v>
          </cell>
        </row>
        <row r="8">
          <cell r="K8" t="str">
            <v>Vacancy</v>
          </cell>
        </row>
      </sheetData>
      <sheetData sheetId="13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eet2"/>
      <sheetName val="Sheet 1"/>
    </sheetNames>
    <sheetDataSet>
      <sheetData sheetId="0"/>
      <sheetData sheetId="1">
        <row r="5">
          <cell r="F5" t="str">
            <v>ACCP.PA</v>
          </cell>
        </row>
      </sheetData>
      <sheetData sheetId="2" refreshError="1">
        <row r="5">
          <cell r="F5" t="str">
            <v>ACCP.PA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PL-3-Statements"/>
      <sheetName val="ValSum"/>
      <sheetName val="Valuation Graph"/>
      <sheetName val="Public Comps"/>
      <sheetName val="M&amp;A-Comps"/>
      <sheetName val="DCF"/>
      <sheetName val="WACC"/>
      <sheetName val="Merger-Model"/>
      <sheetName val="Merger-Shares-BS"/>
      <sheetName val="Basic-LBO"/>
      <sheetName val="More-Adv-LBO"/>
    </sheetNames>
    <sheetDataSet>
      <sheetData sheetId="0">
        <row r="9">
          <cell r="I9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info"/>
      <sheetName val="Cash flow and IRR"/>
      <sheetName val="Project overview"/>
      <sheetName val="Apartment list"/>
      <sheetName val="Apartment list (old)"/>
      <sheetName val="Hallunda Gård aggregated"/>
    </sheetNames>
    <sheetDataSet>
      <sheetData sheetId="0"/>
      <sheetData sheetId="1"/>
      <sheetData sheetId="2"/>
      <sheetData sheetId="3">
        <row r="34">
          <cell r="S34">
            <v>0.26987951807228916</v>
          </cell>
        </row>
        <row r="35">
          <cell r="S35">
            <v>0.48915662650602409</v>
          </cell>
        </row>
        <row r="36">
          <cell r="S36">
            <v>0.12289156626506025</v>
          </cell>
        </row>
        <row r="37">
          <cell r="S37">
            <v>0.1180722891566265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hrome-extension://efaidnbmnnnibpcajpcglclefindmkaj/https:/www.botkyrka.se/download/18.50ac56a41864a37ab2c39f21/1677574692019/VA-taxa_2023.pdf" TargetMode="External"/><Relationship Id="rId7" Type="http://schemas.openxmlformats.org/officeDocument/2006/relationships/hyperlink" Target="https://www.lantmateriet.se/en/real-property/change-owner/stamp-duty-and-fees/" TargetMode="External"/><Relationship Id="rId2" Type="http://schemas.openxmlformats.org/officeDocument/2006/relationships/hyperlink" Target="https://www.botkyrka.se/boende-och-narmiljo/bygglov-och-tillstand/sa-soker-du-bygglov/kostnad-for-bygglov" TargetMode="External"/><Relationship Id="rId1" Type="http://schemas.openxmlformats.org/officeDocument/2006/relationships/hyperlink" Target="https://www.lantmateriet.se/sv/fastigheter/Andra-fastighet/vad-kommer-det-att-kosta/" TargetMode="External"/><Relationship Id="rId6" Type="http://schemas.openxmlformats.org/officeDocument/2006/relationships/hyperlink" Target="https://www.lantmateriet.se/en/real-property/change-owner/stamp-duty-and-fees/" TargetMode="External"/><Relationship Id="rId5" Type="http://schemas.openxmlformats.org/officeDocument/2006/relationships/hyperlink" Target="https://sfab.se/varme-kyla/fjarrvarme/?gad_source=1&amp;gclid=CjwKCAiAuNGuBhAkEiwAGId4aodk6Xjwiry1Xn5dRUNRm8tVD8y00ouLW0ZXOsWTXpr0D8lxIUkKRhoCPmMQAvD_BwE" TargetMode="External"/><Relationship Id="rId4" Type="http://schemas.openxmlformats.org/officeDocument/2006/relationships/hyperlink" Target="https://www.botkyrka.se/boende-och-narmiljo/bygglov-och-tillstand/sa-soker-du-bygglov/kostnad-for-byggl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1087-852B-4AE0-8649-25F45E6C57D0}">
  <dimension ref="B3:AA51"/>
  <sheetViews>
    <sheetView showGridLines="0" zoomScaleNormal="100" workbookViewId="0">
      <pane xSplit="3" ySplit="3" topLeftCell="K4" activePane="bottomRight" state="frozen"/>
      <selection pane="topRight" activeCell="E1" sqref="E1"/>
      <selection pane="bottomLeft" activeCell="A4" sqref="A4"/>
      <selection pane="bottomRight" activeCell="Q25" sqref="Q25"/>
    </sheetView>
  </sheetViews>
  <sheetFormatPr defaultRowHeight="12.75" x14ac:dyDescent="0.2"/>
  <cols>
    <col min="1" max="1" width="2.5703125" style="337" customWidth="1"/>
    <col min="2" max="2" width="52.42578125" style="337" customWidth="1"/>
    <col min="3" max="3" width="19.140625" style="337" customWidth="1"/>
    <col min="4" max="4" width="15" style="337" bestFit="1" customWidth="1"/>
    <col min="5" max="5" width="12.5703125" style="337" customWidth="1"/>
    <col min="6" max="6" width="19.140625" style="337" bestFit="1" customWidth="1"/>
    <col min="7" max="7" width="16.28515625" style="337" bestFit="1" customWidth="1"/>
    <col min="8" max="8" width="15.42578125" style="337" bestFit="1" customWidth="1"/>
    <col min="9" max="9" width="39.140625" style="337" bestFit="1" customWidth="1"/>
    <col min="10" max="10" width="39" style="337" bestFit="1" customWidth="1"/>
    <col min="11" max="11" width="15.28515625" style="337" bestFit="1" customWidth="1"/>
    <col min="12" max="12" width="15" style="337" bestFit="1" customWidth="1"/>
    <col min="13" max="13" width="11.5703125" style="337" customWidth="1"/>
    <col min="14" max="14" width="13.85546875" style="337" customWidth="1"/>
    <col min="15" max="15" width="12.7109375" style="337" bestFit="1" customWidth="1"/>
    <col min="16" max="16" width="14.140625" style="337" bestFit="1" customWidth="1"/>
    <col min="17" max="20" width="11.5703125" style="337" customWidth="1"/>
    <col min="21" max="21" width="16.5703125" style="337" bestFit="1" customWidth="1"/>
    <col min="22" max="22" width="11.5703125" style="337" customWidth="1"/>
    <col min="23" max="23" width="13.140625" style="337" customWidth="1"/>
    <col min="24" max="24" width="13.85546875" style="337" bestFit="1" customWidth="1"/>
    <col min="25" max="25" width="11.5703125" style="337" customWidth="1"/>
    <col min="26" max="16384" width="9.140625" style="337"/>
  </cols>
  <sheetData>
    <row r="3" spans="2:27" ht="64.5" thickBot="1" x14ac:dyDescent="0.25">
      <c r="B3" s="338" t="s">
        <v>207</v>
      </c>
      <c r="C3" s="339"/>
      <c r="D3" s="340" t="s">
        <v>188</v>
      </c>
      <c r="E3" s="340" t="s">
        <v>189</v>
      </c>
      <c r="F3" s="340" t="s">
        <v>227</v>
      </c>
      <c r="G3" s="340" t="s">
        <v>190</v>
      </c>
      <c r="H3" s="340" t="s">
        <v>191</v>
      </c>
      <c r="I3" s="340" t="s">
        <v>204</v>
      </c>
      <c r="J3" s="340" t="s">
        <v>225</v>
      </c>
      <c r="K3" s="340" t="s">
        <v>205</v>
      </c>
      <c r="L3" s="340" t="s">
        <v>206</v>
      </c>
      <c r="M3" s="340" t="s">
        <v>192</v>
      </c>
      <c r="N3" s="340" t="s">
        <v>193</v>
      </c>
      <c r="O3" s="341" t="s">
        <v>194</v>
      </c>
      <c r="P3" s="340" t="s">
        <v>274</v>
      </c>
      <c r="Q3" s="340" t="s">
        <v>195</v>
      </c>
      <c r="R3" s="340" t="s">
        <v>196</v>
      </c>
      <c r="S3" s="340" t="s">
        <v>197</v>
      </c>
      <c r="T3" s="340" t="s">
        <v>198</v>
      </c>
      <c r="U3" s="340" t="s">
        <v>174</v>
      </c>
      <c r="V3" s="340" t="s">
        <v>199</v>
      </c>
      <c r="W3" s="340" t="s">
        <v>200</v>
      </c>
      <c r="X3" s="340" t="s">
        <v>201</v>
      </c>
      <c r="Y3" s="340" t="s">
        <v>202</v>
      </c>
    </row>
    <row r="4" spans="2:27" ht="13.5" thickTop="1" x14ac:dyDescent="0.2">
      <c r="B4" s="337" t="s">
        <v>226</v>
      </c>
      <c r="D4" s="342">
        <f>Apt.list!E19</f>
        <v>23285</v>
      </c>
      <c r="E4" s="343">
        <f>D4/$D$18</f>
        <v>0.97594199253950287</v>
      </c>
      <c r="F4" s="335">
        <v>170306506</v>
      </c>
      <c r="G4" s="344">
        <f>H4/D4</f>
        <v>0.78804809963495803</v>
      </c>
      <c r="H4" s="342">
        <f>Apt.list!E16</f>
        <v>18349.699999999997</v>
      </c>
      <c r="I4" s="342">
        <f>H4/J4</f>
        <v>44.322946859903375</v>
      </c>
      <c r="J4" s="342">
        <f>Apt.list!C28</f>
        <v>414</v>
      </c>
      <c r="K4" s="345">
        <v>18310</v>
      </c>
      <c r="L4" s="342">
        <f>(K4*D4)</f>
        <v>426348350</v>
      </c>
      <c r="M4" s="346">
        <v>0.25</v>
      </c>
      <c r="N4" s="335">
        <f>L4*(1+M4)</f>
        <v>532935437.5</v>
      </c>
      <c r="O4" s="347">
        <f>Apt.list!H9</f>
        <v>3763.4697272732169</v>
      </c>
      <c r="P4" s="342"/>
      <c r="Q4" s="345">
        <v>350</v>
      </c>
      <c r="R4" s="346">
        <v>0</v>
      </c>
      <c r="S4" s="335">
        <f>(1-R4)*(O4-Q4)*H4</f>
        <v>62636145.454545341</v>
      </c>
      <c r="T4" s="348">
        <v>4.3999999999999997E-2</v>
      </c>
      <c r="U4" s="335">
        <f>S4/T4</f>
        <v>1423548760.3305759</v>
      </c>
      <c r="V4" s="346">
        <v>0.65</v>
      </c>
      <c r="W4" s="335">
        <f>V4*U4</f>
        <v>925306694.21487439</v>
      </c>
      <c r="X4" s="335">
        <f>U4-W4</f>
        <v>498242066.11570156</v>
      </c>
      <c r="Y4" s="344">
        <f>X4/U4</f>
        <v>0.35</v>
      </c>
      <c r="AA4" s="335"/>
    </row>
    <row r="5" spans="2:27" hidden="1" x14ac:dyDescent="0.2">
      <c r="D5" s="342"/>
      <c r="E5" s="343">
        <f t="shared" ref="E5:E14" si="0">D5/$D$18</f>
        <v>0</v>
      </c>
      <c r="F5" s="335"/>
      <c r="G5" s="344" t="e">
        <f t="shared" ref="G5:G14" si="1">H5/D5</f>
        <v>#DIV/0!</v>
      </c>
      <c r="H5" s="335"/>
      <c r="I5" s="342"/>
      <c r="J5" s="345"/>
      <c r="K5" s="342"/>
      <c r="L5" s="342"/>
      <c r="M5" s="344"/>
      <c r="N5" s="335"/>
      <c r="O5" s="349"/>
      <c r="P5" s="345"/>
      <c r="Q5" s="345"/>
      <c r="R5" s="346"/>
      <c r="S5" s="335">
        <f t="shared" ref="S5:S13" si="2">(1-R5)*(O5-Q5)*H5</f>
        <v>0</v>
      </c>
      <c r="T5" s="348"/>
      <c r="U5" s="335"/>
      <c r="V5" s="346">
        <v>0.65</v>
      </c>
      <c r="W5" s="335">
        <f t="shared" ref="W5:W14" si="3">V5*U5</f>
        <v>0</v>
      </c>
      <c r="X5" s="335">
        <f t="shared" ref="X5:X14" si="4">U5-W5</f>
        <v>0</v>
      </c>
      <c r="Y5" s="344" t="e">
        <f t="shared" ref="Y5:Y14" si="5">X5/U5</f>
        <v>#DIV/0!</v>
      </c>
    </row>
    <row r="6" spans="2:27" hidden="1" x14ac:dyDescent="0.2">
      <c r="D6" s="342"/>
      <c r="E6" s="343">
        <f t="shared" si="0"/>
        <v>0</v>
      </c>
      <c r="F6" s="335"/>
      <c r="G6" s="344" t="e">
        <f t="shared" si="1"/>
        <v>#DIV/0!</v>
      </c>
      <c r="H6" s="335"/>
      <c r="I6" s="345"/>
      <c r="J6" s="342"/>
      <c r="K6" s="342"/>
      <c r="L6" s="342"/>
      <c r="M6" s="344"/>
      <c r="N6" s="335"/>
      <c r="O6" s="349"/>
      <c r="P6" s="345"/>
      <c r="Q6" s="345"/>
      <c r="R6" s="346"/>
      <c r="S6" s="335">
        <f t="shared" si="2"/>
        <v>0</v>
      </c>
      <c r="T6" s="350"/>
      <c r="U6" s="335"/>
      <c r="V6" s="346">
        <v>0.65</v>
      </c>
      <c r="W6" s="335">
        <f t="shared" si="3"/>
        <v>0</v>
      </c>
      <c r="X6" s="335">
        <f t="shared" si="4"/>
        <v>0</v>
      </c>
      <c r="Y6" s="344" t="e">
        <f t="shared" si="5"/>
        <v>#DIV/0!</v>
      </c>
    </row>
    <row r="7" spans="2:27" hidden="1" x14ac:dyDescent="0.2">
      <c r="D7" s="342"/>
      <c r="E7" s="343">
        <f t="shared" si="0"/>
        <v>0</v>
      </c>
      <c r="F7" s="335"/>
      <c r="G7" s="344" t="e">
        <f t="shared" si="1"/>
        <v>#DIV/0!</v>
      </c>
      <c r="H7" s="335"/>
      <c r="I7" s="342"/>
      <c r="J7" s="345"/>
      <c r="K7" s="342"/>
      <c r="L7" s="342"/>
      <c r="M7" s="344"/>
      <c r="N7" s="335"/>
      <c r="O7" s="349"/>
      <c r="P7" s="345"/>
      <c r="Q7" s="345"/>
      <c r="R7" s="346"/>
      <c r="S7" s="335">
        <f t="shared" si="2"/>
        <v>0</v>
      </c>
      <c r="T7" s="350"/>
      <c r="U7" s="335"/>
      <c r="V7" s="346">
        <v>0.65</v>
      </c>
      <c r="W7" s="335">
        <f t="shared" si="3"/>
        <v>0</v>
      </c>
      <c r="X7" s="335">
        <f t="shared" si="4"/>
        <v>0</v>
      </c>
      <c r="Y7" s="344" t="e">
        <f t="shared" si="5"/>
        <v>#DIV/0!</v>
      </c>
    </row>
    <row r="8" spans="2:27" hidden="1" x14ac:dyDescent="0.2">
      <c r="D8" s="342"/>
      <c r="E8" s="343">
        <f t="shared" si="0"/>
        <v>0</v>
      </c>
      <c r="F8" s="335"/>
      <c r="G8" s="344" t="e">
        <f t="shared" si="1"/>
        <v>#DIV/0!</v>
      </c>
      <c r="H8" s="335"/>
      <c r="I8" s="345"/>
      <c r="J8" s="342"/>
      <c r="K8" s="342"/>
      <c r="L8" s="342"/>
      <c r="M8" s="344"/>
      <c r="N8" s="335"/>
      <c r="O8" s="349"/>
      <c r="P8" s="345"/>
      <c r="Q8" s="345"/>
      <c r="R8" s="346"/>
      <c r="S8" s="335">
        <f t="shared" si="2"/>
        <v>0</v>
      </c>
      <c r="T8" s="350"/>
      <c r="U8" s="335"/>
      <c r="V8" s="346">
        <v>0.65</v>
      </c>
      <c r="W8" s="335">
        <f t="shared" si="3"/>
        <v>0</v>
      </c>
      <c r="X8" s="335">
        <f t="shared" si="4"/>
        <v>0</v>
      </c>
      <c r="Y8" s="344" t="e">
        <f t="shared" si="5"/>
        <v>#DIV/0!</v>
      </c>
    </row>
    <row r="9" spans="2:27" hidden="1" x14ac:dyDescent="0.2">
      <c r="D9" s="342"/>
      <c r="E9" s="343">
        <f t="shared" si="0"/>
        <v>0</v>
      </c>
      <c r="F9" s="335"/>
      <c r="G9" s="344" t="e">
        <f t="shared" si="1"/>
        <v>#DIV/0!</v>
      </c>
      <c r="H9" s="335"/>
      <c r="I9" s="345"/>
      <c r="J9" s="342"/>
      <c r="K9" s="342"/>
      <c r="L9" s="342"/>
      <c r="M9" s="344"/>
      <c r="N9" s="335"/>
      <c r="O9" s="349"/>
      <c r="P9" s="345"/>
      <c r="Q9" s="345"/>
      <c r="R9" s="346"/>
      <c r="S9" s="335">
        <f t="shared" si="2"/>
        <v>0</v>
      </c>
      <c r="T9" s="348"/>
      <c r="U9" s="335"/>
      <c r="V9" s="346">
        <v>0.65</v>
      </c>
      <c r="W9" s="335">
        <f t="shared" si="3"/>
        <v>0</v>
      </c>
      <c r="X9" s="335">
        <f t="shared" si="4"/>
        <v>0</v>
      </c>
      <c r="Y9" s="344" t="e">
        <f t="shared" si="5"/>
        <v>#DIV/0!</v>
      </c>
    </row>
    <row r="10" spans="2:27" hidden="1" x14ac:dyDescent="0.2">
      <c r="D10" s="342"/>
      <c r="E10" s="343">
        <f t="shared" si="0"/>
        <v>0</v>
      </c>
      <c r="F10" s="335"/>
      <c r="G10" s="344" t="e">
        <f t="shared" si="1"/>
        <v>#DIV/0!</v>
      </c>
      <c r="H10" s="335"/>
      <c r="I10" s="342"/>
      <c r="J10" s="345"/>
      <c r="K10" s="342"/>
      <c r="L10" s="342"/>
      <c r="M10" s="344"/>
      <c r="N10" s="335"/>
      <c r="O10" s="349"/>
      <c r="P10" s="345"/>
      <c r="Q10" s="345"/>
      <c r="R10" s="346"/>
      <c r="S10" s="335">
        <f t="shared" si="2"/>
        <v>0</v>
      </c>
      <c r="T10" s="350"/>
      <c r="U10" s="335"/>
      <c r="V10" s="346">
        <v>0.65</v>
      </c>
      <c r="W10" s="335">
        <f t="shared" si="3"/>
        <v>0</v>
      </c>
      <c r="X10" s="335">
        <f t="shared" si="4"/>
        <v>0</v>
      </c>
      <c r="Y10" s="344" t="e">
        <f t="shared" si="5"/>
        <v>#DIV/0!</v>
      </c>
    </row>
    <row r="11" spans="2:27" hidden="1" x14ac:dyDescent="0.2">
      <c r="D11" s="342"/>
      <c r="E11" s="343">
        <f t="shared" si="0"/>
        <v>0</v>
      </c>
      <c r="F11" s="335"/>
      <c r="G11" s="344" t="e">
        <f t="shared" si="1"/>
        <v>#DIV/0!</v>
      </c>
      <c r="H11" s="335"/>
      <c r="I11" s="342"/>
      <c r="J11" s="345"/>
      <c r="K11" s="342"/>
      <c r="L11" s="342"/>
      <c r="M11" s="344"/>
      <c r="N11" s="335"/>
      <c r="O11" s="349"/>
      <c r="P11" s="345"/>
      <c r="Q11" s="345"/>
      <c r="R11" s="346"/>
      <c r="S11" s="335">
        <f t="shared" si="2"/>
        <v>0</v>
      </c>
      <c r="T11" s="350"/>
      <c r="U11" s="335"/>
      <c r="V11" s="346">
        <v>0.65</v>
      </c>
      <c r="W11" s="335">
        <f t="shared" si="3"/>
        <v>0</v>
      </c>
      <c r="X11" s="335">
        <f t="shared" si="4"/>
        <v>0</v>
      </c>
      <c r="Y11" s="344" t="e">
        <f t="shared" si="5"/>
        <v>#DIV/0!</v>
      </c>
    </row>
    <row r="12" spans="2:27" hidden="1" x14ac:dyDescent="0.2">
      <c r="D12" s="342"/>
      <c r="E12" s="343">
        <f t="shared" si="0"/>
        <v>0</v>
      </c>
      <c r="F12" s="335"/>
      <c r="G12" s="344" t="e">
        <f t="shared" si="1"/>
        <v>#DIV/0!</v>
      </c>
      <c r="H12" s="335"/>
      <c r="I12" s="345"/>
      <c r="J12" s="342"/>
      <c r="K12" s="342"/>
      <c r="L12" s="342"/>
      <c r="M12" s="344"/>
      <c r="N12" s="335"/>
      <c r="O12" s="349"/>
      <c r="P12" s="345"/>
      <c r="Q12" s="345"/>
      <c r="R12" s="346"/>
      <c r="S12" s="335">
        <f t="shared" si="2"/>
        <v>0</v>
      </c>
      <c r="T12" s="350"/>
      <c r="U12" s="335"/>
      <c r="V12" s="346">
        <v>0.65</v>
      </c>
      <c r="W12" s="335">
        <f t="shared" si="3"/>
        <v>0</v>
      </c>
      <c r="X12" s="335">
        <f t="shared" si="4"/>
        <v>0</v>
      </c>
      <c r="Y12" s="344" t="e">
        <f t="shared" si="5"/>
        <v>#DIV/0!</v>
      </c>
    </row>
    <row r="13" spans="2:27" hidden="1" x14ac:dyDescent="0.2">
      <c r="D13" s="342"/>
      <c r="E13" s="343">
        <f t="shared" si="0"/>
        <v>0</v>
      </c>
      <c r="F13" s="335"/>
      <c r="G13" s="344" t="e">
        <f t="shared" si="1"/>
        <v>#DIV/0!</v>
      </c>
      <c r="H13" s="335"/>
      <c r="I13" s="345"/>
      <c r="J13" s="342"/>
      <c r="K13" s="342"/>
      <c r="L13" s="342"/>
      <c r="M13" s="351"/>
      <c r="N13" s="335"/>
      <c r="O13" s="349"/>
      <c r="P13" s="345"/>
      <c r="Q13" s="345"/>
      <c r="R13" s="352"/>
      <c r="S13" s="335">
        <f t="shared" si="2"/>
        <v>0</v>
      </c>
      <c r="T13" s="350"/>
      <c r="U13" s="335"/>
      <c r="V13" s="346">
        <v>0.65</v>
      </c>
      <c r="W13" s="335">
        <f t="shared" si="3"/>
        <v>0</v>
      </c>
      <c r="X13" s="335">
        <f t="shared" si="4"/>
        <v>0</v>
      </c>
      <c r="Y13" s="344" t="e">
        <f t="shared" si="5"/>
        <v>#DIV/0!</v>
      </c>
    </row>
    <row r="14" spans="2:27" x14ac:dyDescent="0.2">
      <c r="B14" s="337" t="s">
        <v>286</v>
      </c>
      <c r="D14" s="342">
        <f>Apt.list!E20</f>
        <v>574</v>
      </c>
      <c r="E14" s="343">
        <f t="shared" si="0"/>
        <v>2.4058007460497088E-2</v>
      </c>
      <c r="F14" s="335"/>
      <c r="G14" s="344">
        <f t="shared" si="1"/>
        <v>0.87979094076655051</v>
      </c>
      <c r="H14" s="335">
        <f>Apt.list!E17</f>
        <v>505</v>
      </c>
      <c r="I14" s="345"/>
      <c r="J14" s="342"/>
      <c r="K14" s="342"/>
      <c r="L14" s="342"/>
      <c r="M14" s="351"/>
      <c r="N14" s="335"/>
      <c r="O14" s="347">
        <f>Apt.list!H5</f>
        <v>3000</v>
      </c>
      <c r="P14" s="345"/>
      <c r="Q14" s="345">
        <v>200</v>
      </c>
      <c r="R14" s="352">
        <v>0.05</v>
      </c>
      <c r="S14" s="335">
        <f>(1-R14)*(O14-Q14)*H14</f>
        <v>1343300</v>
      </c>
      <c r="T14" s="348">
        <v>0.06</v>
      </c>
      <c r="U14" s="335">
        <f>S14/T14</f>
        <v>22388333.333333336</v>
      </c>
      <c r="V14" s="346">
        <v>0.65</v>
      </c>
      <c r="W14" s="335">
        <f t="shared" si="3"/>
        <v>14552416.666666668</v>
      </c>
      <c r="X14" s="335">
        <f t="shared" si="4"/>
        <v>7835916.6666666679</v>
      </c>
      <c r="Y14" s="344">
        <f t="shared" si="5"/>
        <v>0.35000000000000003</v>
      </c>
    </row>
    <row r="15" spans="2:27" x14ac:dyDescent="0.2">
      <c r="B15" s="337" t="s">
        <v>326</v>
      </c>
      <c r="D15" s="342"/>
      <c r="E15" s="353"/>
      <c r="G15" s="354"/>
      <c r="I15" s="355"/>
      <c r="J15" s="355">
        <v>134</v>
      </c>
      <c r="K15" s="345">
        <v>300000</v>
      </c>
      <c r="L15" s="342">
        <f>J15*K15</f>
        <v>40200000</v>
      </c>
      <c r="M15" s="346">
        <v>0</v>
      </c>
      <c r="N15" s="335">
        <f>L15*(1+M15)</f>
        <v>40200000</v>
      </c>
      <c r="O15" s="349"/>
      <c r="P15" s="345">
        <v>18000</v>
      </c>
      <c r="Q15" s="356">
        <v>1000</v>
      </c>
      <c r="R15" s="346">
        <v>0</v>
      </c>
      <c r="S15" s="335">
        <f>(1-R15)*(P15-Q15)*J15</f>
        <v>2278000</v>
      </c>
      <c r="T15" s="348">
        <v>6.5000000000000002E-2</v>
      </c>
      <c r="U15" s="335">
        <f>S15/T15</f>
        <v>35046153.846153848</v>
      </c>
      <c r="V15" s="346">
        <f>$V$4</f>
        <v>0.65</v>
      </c>
      <c r="W15" s="335">
        <f>V15*U15</f>
        <v>22780000.000000004</v>
      </c>
      <c r="X15" s="335">
        <f>U15-W15</f>
        <v>12266153.846153844</v>
      </c>
      <c r="Y15" s="357">
        <f>X15/U15</f>
        <v>0.34999999999999992</v>
      </c>
    </row>
    <row r="16" spans="2:27" x14ac:dyDescent="0.2">
      <c r="B16" s="337" t="s">
        <v>288</v>
      </c>
      <c r="D16" s="355"/>
      <c r="E16" s="358"/>
      <c r="G16" s="354"/>
      <c r="H16" s="355"/>
      <c r="I16" s="355"/>
      <c r="J16" s="342">
        <v>17</v>
      </c>
      <c r="K16" s="342"/>
      <c r="L16" s="335"/>
      <c r="M16" s="357"/>
      <c r="N16" s="335"/>
      <c r="O16" s="347"/>
      <c r="P16" s="345">
        <v>9000</v>
      </c>
      <c r="Q16" s="356">
        <v>1000</v>
      </c>
      <c r="R16" s="346">
        <v>0</v>
      </c>
      <c r="S16" s="335">
        <f>(1-R16)*(P16-Q16)*J16</f>
        <v>136000</v>
      </c>
      <c r="T16" s="348">
        <v>6.5000000000000002E-2</v>
      </c>
      <c r="U16" s="335">
        <f>S16/T16</f>
        <v>2092307.6923076923</v>
      </c>
      <c r="V16" s="346">
        <f>$V$4</f>
        <v>0.65</v>
      </c>
      <c r="W16" s="335">
        <f>V16*U16</f>
        <v>1360000</v>
      </c>
      <c r="X16" s="335">
        <f>U16-W16</f>
        <v>732307.69230769225</v>
      </c>
      <c r="Y16" s="357">
        <f>X16/U16</f>
        <v>0.35</v>
      </c>
    </row>
    <row r="17" spans="2:25" x14ac:dyDescent="0.2">
      <c r="B17" s="359"/>
      <c r="C17" s="359"/>
      <c r="D17" s="360"/>
      <c r="E17" s="361"/>
      <c r="F17" s="359"/>
      <c r="G17" s="362"/>
      <c r="H17" s="360"/>
      <c r="I17" s="360"/>
      <c r="J17" s="363"/>
      <c r="K17" s="363"/>
      <c r="L17" s="364"/>
      <c r="M17" s="365"/>
      <c r="N17" s="364"/>
      <c r="O17" s="366"/>
      <c r="P17" s="363"/>
      <c r="Q17" s="363"/>
      <c r="R17" s="367"/>
      <c r="S17" s="364"/>
      <c r="T17" s="368"/>
      <c r="U17" s="364"/>
      <c r="V17" s="365"/>
      <c r="W17" s="364"/>
      <c r="X17" s="364"/>
      <c r="Y17" s="365"/>
    </row>
    <row r="18" spans="2:25" x14ac:dyDescent="0.2">
      <c r="B18" s="369"/>
      <c r="C18" s="369"/>
      <c r="D18" s="370">
        <f>SUM(D4:D17)</f>
        <v>23859</v>
      </c>
      <c r="E18" s="371">
        <f>SUM(E4:E17)</f>
        <v>1</v>
      </c>
      <c r="F18" s="370">
        <f>F4</f>
        <v>170306506</v>
      </c>
      <c r="G18" s="369"/>
      <c r="H18" s="370">
        <f>SUM(H4:H17)</f>
        <v>18854.699999999997</v>
      </c>
      <c r="I18" s="370"/>
      <c r="J18" s="370">
        <f>J4</f>
        <v>414</v>
      </c>
      <c r="K18" s="369"/>
      <c r="L18" s="370">
        <f>SUM(L4:L17)</f>
        <v>466548350</v>
      </c>
      <c r="M18" s="369"/>
      <c r="N18" s="370">
        <f>SUM(N4:N17)</f>
        <v>573135437.5</v>
      </c>
      <c r="O18" s="372"/>
      <c r="P18" s="369"/>
      <c r="Q18" s="369"/>
      <c r="R18" s="369"/>
      <c r="S18" s="370">
        <f>SUM(S4:S17)</f>
        <v>66393445.454545341</v>
      </c>
      <c r="T18" s="369"/>
      <c r="U18" s="370">
        <f>SUM(U4:U17)</f>
        <v>1483075555.2023706</v>
      </c>
      <c r="V18" s="369"/>
      <c r="W18" s="370">
        <f>SUM(W4:W17)</f>
        <v>963999110.88154101</v>
      </c>
      <c r="X18" s="370">
        <f>SUM(X4:X17)</f>
        <v>519076444.32082981</v>
      </c>
      <c r="Y18" s="369"/>
    </row>
    <row r="19" spans="2:25" ht="15" x14ac:dyDescent="0.2">
      <c r="B19" s="369"/>
      <c r="F19" s="370"/>
      <c r="L19" s="342"/>
      <c r="O19" s="373"/>
      <c r="P19" s="314" t="s">
        <v>339</v>
      </c>
      <c r="Q19" s="314"/>
    </row>
    <row r="20" spans="2:25" x14ac:dyDescent="0.2">
      <c r="B20" s="369" t="s">
        <v>324</v>
      </c>
      <c r="C20" s="335">
        <v>1504000000</v>
      </c>
      <c r="O20" s="375"/>
      <c r="P20" s="396" t="s">
        <v>317</v>
      </c>
      <c r="Q20" s="335">
        <f>-Q4*H4</f>
        <v>-6422394.9999999991</v>
      </c>
      <c r="S20" s="335"/>
      <c r="T20" s="335"/>
    </row>
    <row r="21" spans="2:25" x14ac:dyDescent="0.2">
      <c r="B21" s="369" t="s">
        <v>199</v>
      </c>
      <c r="C21" s="398">
        <v>0.65</v>
      </c>
      <c r="O21" s="336"/>
      <c r="P21" s="397" t="s">
        <v>286</v>
      </c>
      <c r="Q21" s="335">
        <f>-Q14*H14</f>
        <v>-101000</v>
      </c>
      <c r="S21" s="335"/>
      <c r="T21" s="335"/>
      <c r="U21" s="375"/>
    </row>
    <row r="22" spans="2:25" x14ac:dyDescent="0.2">
      <c r="B22" s="369" t="s">
        <v>325</v>
      </c>
      <c r="C22" s="335">
        <f>+C20*C21</f>
        <v>977600000</v>
      </c>
      <c r="E22" s="386"/>
      <c r="J22" s="387"/>
      <c r="O22" s="336"/>
      <c r="P22" s="397" t="s">
        <v>287</v>
      </c>
      <c r="Q22" s="335">
        <f>-Q15*J15</f>
        <v>-134000</v>
      </c>
      <c r="S22" s="335"/>
      <c r="T22" s="335"/>
      <c r="W22" s="376"/>
    </row>
    <row r="23" spans="2:25" x14ac:dyDescent="0.2">
      <c r="B23" s="369" t="s">
        <v>338</v>
      </c>
      <c r="C23" s="399">
        <f>0.021+0.015</f>
        <v>3.6000000000000004E-2</v>
      </c>
      <c r="E23" s="335"/>
      <c r="H23" s="335"/>
      <c r="I23" s="369"/>
      <c r="J23" s="387"/>
      <c r="M23" s="335"/>
      <c r="O23" s="377"/>
      <c r="P23" s="404" t="s">
        <v>318</v>
      </c>
      <c r="Q23" s="364">
        <f>-Q16*J16</f>
        <v>-17000</v>
      </c>
      <c r="S23" s="335"/>
      <c r="T23" s="335"/>
      <c r="W23" s="335"/>
    </row>
    <row r="24" spans="2:25" x14ac:dyDescent="0.2">
      <c r="B24" s="369" t="s">
        <v>323</v>
      </c>
      <c r="C24" s="398">
        <v>0.01</v>
      </c>
      <c r="E24" s="335"/>
      <c r="H24" s="335"/>
      <c r="I24" s="369"/>
      <c r="J24" s="387"/>
      <c r="K24" s="335"/>
      <c r="L24" s="375"/>
      <c r="M24" s="335"/>
      <c r="N24" s="335"/>
      <c r="P24" s="397" t="s">
        <v>203</v>
      </c>
      <c r="Q24" s="335">
        <f>SUM(Q20:Q23)</f>
        <v>-6674394.9999999991</v>
      </c>
    </row>
    <row r="25" spans="2:25" x14ac:dyDescent="0.2">
      <c r="B25" s="369" t="s">
        <v>331</v>
      </c>
      <c r="C25" s="401">
        <v>5.0000000000000001E-3</v>
      </c>
      <c r="D25" s="345"/>
      <c r="E25" s="335"/>
      <c r="I25" s="369"/>
      <c r="J25" s="387"/>
      <c r="L25" s="336"/>
      <c r="O25" s="375"/>
      <c r="P25" s="396" t="s">
        <v>319</v>
      </c>
      <c r="Q25" s="335">
        <f>+Q24/H18</f>
        <v>-353.99104732507016</v>
      </c>
      <c r="U25" s="375"/>
    </row>
    <row r="26" spans="2:25" x14ac:dyDescent="0.2">
      <c r="B26" s="369"/>
      <c r="D26" s="345"/>
      <c r="E26" s="335"/>
      <c r="H26" s="369"/>
      <c r="I26" s="370"/>
      <c r="J26" s="387"/>
      <c r="K26" s="388"/>
      <c r="L26" s="378"/>
      <c r="R26" s="369"/>
      <c r="U26" s="375"/>
    </row>
    <row r="27" spans="2:25" x14ac:dyDescent="0.2">
      <c r="D27" s="345"/>
      <c r="E27" s="335"/>
      <c r="G27" s="369"/>
      <c r="H27" s="374"/>
      <c r="I27" s="370"/>
      <c r="J27" s="387"/>
      <c r="O27" s="377"/>
      <c r="P27" s="377"/>
    </row>
    <row r="28" spans="2:25" x14ac:dyDescent="0.2">
      <c r="D28" s="345"/>
      <c r="E28" s="335"/>
      <c r="G28" s="369"/>
      <c r="H28" s="374"/>
      <c r="I28" s="369"/>
      <c r="J28" s="387"/>
      <c r="K28" s="335"/>
      <c r="U28" s="375"/>
    </row>
    <row r="29" spans="2:25" x14ac:dyDescent="0.2">
      <c r="D29" s="345"/>
      <c r="E29" s="335"/>
      <c r="G29" s="369"/>
      <c r="I29" s="370"/>
      <c r="J29" s="387"/>
      <c r="K29" s="374"/>
      <c r="M29" s="335"/>
      <c r="U29" s="336"/>
    </row>
    <row r="30" spans="2:25" x14ac:dyDescent="0.2">
      <c r="D30" s="345"/>
      <c r="E30" s="335"/>
      <c r="G30" s="389"/>
      <c r="H30" s="374"/>
      <c r="I30" s="370"/>
      <c r="J30" s="390"/>
      <c r="M30" s="335"/>
      <c r="U30" s="336"/>
    </row>
    <row r="31" spans="2:25" x14ac:dyDescent="0.2">
      <c r="D31" s="345"/>
      <c r="E31" s="335"/>
      <c r="G31" s="369"/>
      <c r="I31" s="370"/>
      <c r="J31" s="388"/>
      <c r="K31" s="335"/>
    </row>
    <row r="32" spans="2:25" x14ac:dyDescent="0.2">
      <c r="B32" s="369"/>
      <c r="D32" s="370"/>
      <c r="E32" s="370"/>
      <c r="G32" s="369"/>
      <c r="H32" s="335"/>
      <c r="I32" s="370"/>
      <c r="J32" s="390"/>
      <c r="K32" s="336"/>
      <c r="M32" s="335"/>
    </row>
    <row r="33" spans="2:24" x14ac:dyDescent="0.2">
      <c r="E33" s="335"/>
      <c r="G33" s="369"/>
      <c r="H33" s="374"/>
      <c r="I33" s="369"/>
      <c r="J33" s="388"/>
      <c r="S33" s="379"/>
    </row>
    <row r="34" spans="2:24" x14ac:dyDescent="0.2">
      <c r="G34" s="369"/>
      <c r="J34" s="369"/>
      <c r="L34" s="378"/>
    </row>
    <row r="35" spans="2:24" x14ac:dyDescent="0.2">
      <c r="B35" s="369"/>
      <c r="D35" s="386"/>
      <c r="G35" s="391"/>
      <c r="H35" s="336"/>
      <c r="I35" s="369"/>
      <c r="J35" s="392"/>
    </row>
    <row r="36" spans="2:24" x14ac:dyDescent="0.2">
      <c r="D36" s="335"/>
      <c r="G36" s="369"/>
      <c r="I36" s="369"/>
      <c r="J36" s="389"/>
    </row>
    <row r="37" spans="2:24" x14ac:dyDescent="0.2">
      <c r="D37" s="335"/>
      <c r="G37" s="369"/>
      <c r="H37" s="336"/>
      <c r="I37" s="393"/>
      <c r="X37" s="375"/>
    </row>
    <row r="38" spans="2:24" x14ac:dyDescent="0.2">
      <c r="B38" s="369"/>
      <c r="C38" s="369"/>
      <c r="D38" s="370"/>
      <c r="G38" s="374"/>
      <c r="X38" s="375"/>
    </row>
    <row r="39" spans="2:24" x14ac:dyDescent="0.2">
      <c r="X39" s="375"/>
    </row>
    <row r="40" spans="2:24" x14ac:dyDescent="0.2">
      <c r="B40" s="369"/>
      <c r="C40" s="369"/>
      <c r="D40" s="370"/>
      <c r="E40" s="374"/>
      <c r="F40" s="394"/>
      <c r="G40" s="374"/>
      <c r="X40" s="380"/>
    </row>
    <row r="41" spans="2:24" x14ac:dyDescent="0.2">
      <c r="B41" s="369"/>
      <c r="C41" s="369"/>
      <c r="D41" s="370"/>
      <c r="E41" s="374"/>
      <c r="F41" s="395"/>
      <c r="I41" s="335"/>
      <c r="X41" s="375"/>
    </row>
    <row r="42" spans="2:24" x14ac:dyDescent="0.2">
      <c r="B42" s="369"/>
      <c r="C42" s="369"/>
      <c r="D42" s="370"/>
      <c r="E42" s="374"/>
      <c r="X42" s="375"/>
    </row>
    <row r="43" spans="2:24" x14ac:dyDescent="0.2">
      <c r="B43" s="369"/>
      <c r="C43" s="369"/>
      <c r="D43" s="370"/>
      <c r="K43" s="395"/>
      <c r="X43" s="375"/>
    </row>
    <row r="44" spans="2:24" x14ac:dyDescent="0.2">
      <c r="B44" s="369"/>
      <c r="C44" s="369"/>
      <c r="D44" s="370"/>
      <c r="X44" s="380"/>
    </row>
    <row r="45" spans="2:24" x14ac:dyDescent="0.2">
      <c r="B45" s="369"/>
      <c r="D45" s="370"/>
    </row>
    <row r="46" spans="2:24" x14ac:dyDescent="0.2">
      <c r="B46" s="369"/>
      <c r="D46" s="381"/>
    </row>
    <row r="48" spans="2:24" x14ac:dyDescent="0.2">
      <c r="B48" s="369"/>
      <c r="D48" s="382"/>
      <c r="K48" s="375"/>
    </row>
    <row r="49" spans="2:8" x14ac:dyDescent="0.2">
      <c r="G49" s="335"/>
      <c r="H49" s="335"/>
    </row>
    <row r="50" spans="2:8" x14ac:dyDescent="0.2">
      <c r="B50" s="369"/>
      <c r="D50" s="381"/>
    </row>
    <row r="51" spans="2:8" x14ac:dyDescent="0.2">
      <c r="H51" s="375"/>
    </row>
  </sheetData>
  <phoneticPr fontId="33" type="noConversion"/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C2EE-5374-4534-8604-C454B35318A1}">
  <dimension ref="B2:BJ42"/>
  <sheetViews>
    <sheetView showGridLines="0" tabSelected="1" zoomScaleNormal="100" workbookViewId="0">
      <selection activeCell="H40" sqref="H40"/>
    </sheetView>
  </sheetViews>
  <sheetFormatPr defaultColWidth="13.7109375" defaultRowHeight="12.75" x14ac:dyDescent="0.2"/>
  <cols>
    <col min="1" max="1" width="13.7109375" style="315"/>
    <col min="2" max="2" width="20.28515625" style="315" bestFit="1" customWidth="1"/>
    <col min="3" max="48" width="13.7109375" style="315"/>
    <col min="49" max="49" width="16" style="315" bestFit="1" customWidth="1"/>
    <col min="50" max="16384" width="13.7109375" style="315"/>
  </cols>
  <sheetData>
    <row r="2" spans="2:62" ht="15" x14ac:dyDescent="0.2">
      <c r="C2" s="314" t="s">
        <v>334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 t="s">
        <v>335</v>
      </c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 t="s">
        <v>336</v>
      </c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 t="s">
        <v>337</v>
      </c>
      <c r="AO2" s="314"/>
      <c r="AP2" s="314"/>
      <c r="AQ2" s="314"/>
      <c r="AR2" s="314"/>
      <c r="AS2" s="314"/>
      <c r="AT2" s="314"/>
    </row>
    <row r="3" spans="2:62" x14ac:dyDescent="0.2">
      <c r="C3" s="317"/>
      <c r="D3" s="318">
        <v>46753</v>
      </c>
      <c r="E3" s="318">
        <f>+EDATE(D3,1)</f>
        <v>46784</v>
      </c>
      <c r="F3" s="318">
        <f>+EDATE(E3,1)</f>
        <v>46813</v>
      </c>
      <c r="G3" s="318">
        <f t="shared" ref="G3:AT3" si="0">+EDATE(F3,1)</f>
        <v>46844</v>
      </c>
      <c r="H3" s="318">
        <f t="shared" si="0"/>
        <v>46874</v>
      </c>
      <c r="I3" s="318">
        <f t="shared" si="0"/>
        <v>46905</v>
      </c>
      <c r="J3" s="318">
        <f t="shared" si="0"/>
        <v>46935</v>
      </c>
      <c r="K3" s="318">
        <f t="shared" si="0"/>
        <v>46966</v>
      </c>
      <c r="L3" s="318">
        <f t="shared" si="0"/>
        <v>46997</v>
      </c>
      <c r="M3" s="318">
        <f t="shared" si="0"/>
        <v>47027</v>
      </c>
      <c r="N3" s="318">
        <f t="shared" si="0"/>
        <v>47058</v>
      </c>
      <c r="O3" s="318">
        <f t="shared" si="0"/>
        <v>47088</v>
      </c>
      <c r="P3" s="319">
        <f t="shared" si="0"/>
        <v>47119</v>
      </c>
      <c r="Q3" s="318">
        <f t="shared" si="0"/>
        <v>47150</v>
      </c>
      <c r="R3" s="318">
        <f t="shared" si="0"/>
        <v>47178</v>
      </c>
      <c r="S3" s="318">
        <f t="shared" si="0"/>
        <v>47209</v>
      </c>
      <c r="T3" s="318">
        <f t="shared" si="0"/>
        <v>47239</v>
      </c>
      <c r="U3" s="318">
        <f t="shared" si="0"/>
        <v>47270</v>
      </c>
      <c r="V3" s="318">
        <f t="shared" si="0"/>
        <v>47300</v>
      </c>
      <c r="W3" s="318">
        <f t="shared" si="0"/>
        <v>47331</v>
      </c>
      <c r="X3" s="318">
        <f t="shared" si="0"/>
        <v>47362</v>
      </c>
      <c r="Y3" s="318">
        <f t="shared" si="0"/>
        <v>47392</v>
      </c>
      <c r="Z3" s="318">
        <f t="shared" si="0"/>
        <v>47423</v>
      </c>
      <c r="AA3" s="318">
        <f t="shared" si="0"/>
        <v>47453</v>
      </c>
      <c r="AB3" s="319">
        <f t="shared" si="0"/>
        <v>47484</v>
      </c>
      <c r="AC3" s="318">
        <f t="shared" si="0"/>
        <v>47515</v>
      </c>
      <c r="AD3" s="318">
        <f t="shared" si="0"/>
        <v>47543</v>
      </c>
      <c r="AE3" s="318">
        <f t="shared" si="0"/>
        <v>47574</v>
      </c>
      <c r="AF3" s="318">
        <f t="shared" si="0"/>
        <v>47604</v>
      </c>
      <c r="AG3" s="318">
        <f t="shared" si="0"/>
        <v>47635</v>
      </c>
      <c r="AH3" s="318">
        <f t="shared" si="0"/>
        <v>47665</v>
      </c>
      <c r="AI3" s="318">
        <f t="shared" si="0"/>
        <v>47696</v>
      </c>
      <c r="AJ3" s="318">
        <f t="shared" si="0"/>
        <v>47727</v>
      </c>
      <c r="AK3" s="318">
        <f t="shared" si="0"/>
        <v>47757</v>
      </c>
      <c r="AL3" s="318">
        <f t="shared" si="0"/>
        <v>47788</v>
      </c>
      <c r="AM3" s="318">
        <f t="shared" si="0"/>
        <v>47818</v>
      </c>
      <c r="AN3" s="319">
        <f t="shared" si="0"/>
        <v>47849</v>
      </c>
      <c r="AO3" s="318">
        <f t="shared" si="0"/>
        <v>47880</v>
      </c>
      <c r="AP3" s="318">
        <f t="shared" si="0"/>
        <v>47908</v>
      </c>
      <c r="AQ3" s="318">
        <f t="shared" si="0"/>
        <v>47939</v>
      </c>
      <c r="AR3" s="318">
        <f t="shared" si="0"/>
        <v>47969</v>
      </c>
      <c r="AS3" s="318">
        <f t="shared" si="0"/>
        <v>48000</v>
      </c>
      <c r="AT3" s="318">
        <f t="shared" si="0"/>
        <v>48030</v>
      </c>
      <c r="AU3" s="383"/>
    </row>
    <row r="4" spans="2:62" x14ac:dyDescent="0.2">
      <c r="B4" s="316" t="s">
        <v>289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4"/>
      <c r="AO4" s="383"/>
      <c r="AP4" s="383"/>
      <c r="AQ4" s="383"/>
      <c r="AR4" s="383"/>
      <c r="AS4" s="383"/>
      <c r="AT4" s="383"/>
      <c r="AU4" s="383"/>
    </row>
    <row r="5" spans="2:62" x14ac:dyDescent="0.2">
      <c r="B5" s="320" t="s">
        <v>285</v>
      </c>
      <c r="C5" s="321"/>
      <c r="D5" s="321">
        <f>+'Rent roll and financial info'!O4*'Rent roll and financial info'!H4/12</f>
        <v>5754878.3712121109</v>
      </c>
      <c r="E5" s="321">
        <f>+D5</f>
        <v>5754878.3712121109</v>
      </c>
      <c r="F5" s="321">
        <f t="shared" ref="F5:L5" si="1">+E5</f>
        <v>5754878.3712121109</v>
      </c>
      <c r="G5" s="321">
        <f t="shared" si="1"/>
        <v>5754878.3712121109</v>
      </c>
      <c r="H5" s="321">
        <f t="shared" si="1"/>
        <v>5754878.3712121109</v>
      </c>
      <c r="I5" s="321">
        <f t="shared" si="1"/>
        <v>5754878.3712121109</v>
      </c>
      <c r="J5" s="321">
        <f t="shared" si="1"/>
        <v>5754878.3712121109</v>
      </c>
      <c r="K5" s="321">
        <f t="shared" si="1"/>
        <v>5754878.3712121109</v>
      </c>
      <c r="L5" s="321">
        <f t="shared" si="1"/>
        <v>5754878.3712121109</v>
      </c>
      <c r="M5" s="321">
        <f>+L5</f>
        <v>5754878.3712121109</v>
      </c>
      <c r="N5" s="321">
        <f>+M5</f>
        <v>5754878.3712121109</v>
      </c>
      <c r="O5" s="321">
        <f t="shared" ref="O5:AS8" si="2">+N5</f>
        <v>5754878.3712121109</v>
      </c>
      <c r="P5" s="322">
        <f>+O5*1.02</f>
        <v>5869975.9386363532</v>
      </c>
      <c r="Q5" s="321">
        <f t="shared" si="2"/>
        <v>5869975.9386363532</v>
      </c>
      <c r="R5" s="321">
        <f t="shared" si="2"/>
        <v>5869975.9386363532</v>
      </c>
      <c r="S5" s="321">
        <f t="shared" si="2"/>
        <v>5869975.9386363532</v>
      </c>
      <c r="T5" s="321">
        <f t="shared" si="2"/>
        <v>5869975.9386363532</v>
      </c>
      <c r="U5" s="321">
        <f t="shared" si="2"/>
        <v>5869975.9386363532</v>
      </c>
      <c r="V5" s="321">
        <f t="shared" si="2"/>
        <v>5869975.9386363532</v>
      </c>
      <c r="W5" s="321">
        <f t="shared" si="2"/>
        <v>5869975.9386363532</v>
      </c>
      <c r="X5" s="321">
        <f t="shared" si="2"/>
        <v>5869975.9386363532</v>
      </c>
      <c r="Y5" s="321">
        <f t="shared" ref="Y5" si="3">+X5</f>
        <v>5869975.9386363532</v>
      </c>
      <c r="Z5" s="321">
        <f t="shared" si="2"/>
        <v>5869975.9386363532</v>
      </c>
      <c r="AA5" s="321">
        <f t="shared" si="2"/>
        <v>5869975.9386363532</v>
      </c>
      <c r="AB5" s="322">
        <f>+AA5*1.02</f>
        <v>5987375.4574090801</v>
      </c>
      <c r="AC5" s="321">
        <f t="shared" si="2"/>
        <v>5987375.4574090801</v>
      </c>
      <c r="AD5" s="321">
        <f t="shared" si="2"/>
        <v>5987375.4574090801</v>
      </c>
      <c r="AE5" s="321">
        <f t="shared" si="2"/>
        <v>5987375.4574090801</v>
      </c>
      <c r="AF5" s="321">
        <f t="shared" si="2"/>
        <v>5987375.4574090801</v>
      </c>
      <c r="AG5" s="321">
        <f t="shared" si="2"/>
        <v>5987375.4574090801</v>
      </c>
      <c r="AH5" s="321">
        <f t="shared" si="2"/>
        <v>5987375.4574090801</v>
      </c>
      <c r="AI5" s="321">
        <f t="shared" si="2"/>
        <v>5987375.4574090801</v>
      </c>
      <c r="AJ5" s="321">
        <f t="shared" si="2"/>
        <v>5987375.4574090801</v>
      </c>
      <c r="AK5" s="321">
        <f t="shared" ref="AK5" si="4">+AJ5</f>
        <v>5987375.4574090801</v>
      </c>
      <c r="AL5" s="321">
        <f t="shared" si="2"/>
        <v>5987375.4574090801</v>
      </c>
      <c r="AM5" s="321">
        <f t="shared" si="2"/>
        <v>5987375.4574090801</v>
      </c>
      <c r="AN5" s="322">
        <f>+AM5*1.02</f>
        <v>6107122.9665572615</v>
      </c>
      <c r="AO5" s="321">
        <f t="shared" si="2"/>
        <v>6107122.9665572615</v>
      </c>
      <c r="AP5" s="321">
        <f t="shared" si="2"/>
        <v>6107122.9665572615</v>
      </c>
      <c r="AQ5" s="321">
        <f t="shared" si="2"/>
        <v>6107122.9665572615</v>
      </c>
      <c r="AR5" s="321">
        <f t="shared" si="2"/>
        <v>6107122.9665572615</v>
      </c>
      <c r="AS5" s="321">
        <f t="shared" si="2"/>
        <v>6107122.9665572615</v>
      </c>
      <c r="AT5" s="321"/>
      <c r="AU5" s="321"/>
    </row>
    <row r="6" spans="2:62" x14ac:dyDescent="0.2">
      <c r="B6" s="320" t="s">
        <v>286</v>
      </c>
      <c r="C6" s="321"/>
      <c r="D6" s="321">
        <f>+'Rent roll and financial info'!O14*'Rent roll and financial info'!H14/12</f>
        <v>126250</v>
      </c>
      <c r="E6" s="321">
        <f t="shared" ref="E6:L8" si="5">+D6</f>
        <v>126250</v>
      </c>
      <c r="F6" s="321">
        <f t="shared" si="5"/>
        <v>126250</v>
      </c>
      <c r="G6" s="321">
        <f t="shared" si="5"/>
        <v>126250</v>
      </c>
      <c r="H6" s="321">
        <f t="shared" si="5"/>
        <v>126250</v>
      </c>
      <c r="I6" s="321">
        <f t="shared" si="5"/>
        <v>126250</v>
      </c>
      <c r="J6" s="321">
        <f t="shared" si="5"/>
        <v>126250</v>
      </c>
      <c r="K6" s="321">
        <f t="shared" si="5"/>
        <v>126250</v>
      </c>
      <c r="L6" s="321">
        <f t="shared" si="5"/>
        <v>126250</v>
      </c>
      <c r="M6" s="321">
        <f t="shared" ref="M6" si="6">+L6</f>
        <v>126250</v>
      </c>
      <c r="N6" s="321">
        <f t="shared" ref="N6:AC8" si="7">+M6</f>
        <v>126250</v>
      </c>
      <c r="O6" s="321">
        <f t="shared" si="7"/>
        <v>126250</v>
      </c>
      <c r="P6" s="322">
        <f t="shared" ref="P6:P8" si="8">+O6*1.02</f>
        <v>128775</v>
      </c>
      <c r="Q6" s="321">
        <f t="shared" si="7"/>
        <v>128775</v>
      </c>
      <c r="R6" s="321">
        <f t="shared" si="7"/>
        <v>128775</v>
      </c>
      <c r="S6" s="321">
        <f t="shared" si="7"/>
        <v>128775</v>
      </c>
      <c r="T6" s="321">
        <f t="shared" si="7"/>
        <v>128775</v>
      </c>
      <c r="U6" s="321">
        <f t="shared" si="7"/>
        <v>128775</v>
      </c>
      <c r="V6" s="321">
        <f t="shared" si="7"/>
        <v>128775</v>
      </c>
      <c r="W6" s="321">
        <f t="shared" si="7"/>
        <v>128775</v>
      </c>
      <c r="X6" s="321">
        <f t="shared" si="7"/>
        <v>128775</v>
      </c>
      <c r="Y6" s="321">
        <f t="shared" ref="Y6" si="9">+X6</f>
        <v>128775</v>
      </c>
      <c r="Z6" s="321">
        <f t="shared" si="7"/>
        <v>128775</v>
      </c>
      <c r="AA6" s="321">
        <f t="shared" si="7"/>
        <v>128775</v>
      </c>
      <c r="AB6" s="322">
        <f t="shared" ref="AB6:AB8" si="10">+AA6*1.02</f>
        <v>131350.5</v>
      </c>
      <c r="AC6" s="321">
        <f t="shared" si="7"/>
        <v>131350.5</v>
      </c>
      <c r="AD6" s="321">
        <f t="shared" si="2"/>
        <v>131350.5</v>
      </c>
      <c r="AE6" s="321">
        <f t="shared" si="2"/>
        <v>131350.5</v>
      </c>
      <c r="AF6" s="321">
        <f t="shared" si="2"/>
        <v>131350.5</v>
      </c>
      <c r="AG6" s="321">
        <f t="shared" si="2"/>
        <v>131350.5</v>
      </c>
      <c r="AH6" s="321">
        <f t="shared" si="2"/>
        <v>131350.5</v>
      </c>
      <c r="AI6" s="321">
        <f t="shared" si="2"/>
        <v>131350.5</v>
      </c>
      <c r="AJ6" s="321">
        <f t="shared" si="2"/>
        <v>131350.5</v>
      </c>
      <c r="AK6" s="321">
        <f t="shared" ref="AK6" si="11">+AJ6</f>
        <v>131350.5</v>
      </c>
      <c r="AL6" s="321">
        <f t="shared" si="2"/>
        <v>131350.5</v>
      </c>
      <c r="AM6" s="321">
        <f t="shared" si="2"/>
        <v>131350.5</v>
      </c>
      <c r="AN6" s="322">
        <f t="shared" ref="AN6:AN8" si="12">+AM6*1.02</f>
        <v>133977.51</v>
      </c>
      <c r="AO6" s="321">
        <f t="shared" si="2"/>
        <v>133977.51</v>
      </c>
      <c r="AP6" s="321">
        <f t="shared" si="2"/>
        <v>133977.51</v>
      </c>
      <c r="AQ6" s="321">
        <f t="shared" si="2"/>
        <v>133977.51</v>
      </c>
      <c r="AR6" s="321">
        <f t="shared" si="2"/>
        <v>133977.51</v>
      </c>
      <c r="AS6" s="321">
        <f t="shared" si="2"/>
        <v>133977.51</v>
      </c>
      <c r="AT6" s="321"/>
      <c r="AU6" s="321"/>
    </row>
    <row r="7" spans="2:62" x14ac:dyDescent="0.2">
      <c r="B7" s="320" t="s">
        <v>287</v>
      </c>
      <c r="C7" s="321"/>
      <c r="D7" s="321">
        <f>+'Rent roll and financial info'!P15*'Rent roll and financial info'!J15/12</f>
        <v>201000</v>
      </c>
      <c r="E7" s="321">
        <f t="shared" si="5"/>
        <v>201000</v>
      </c>
      <c r="F7" s="321">
        <f t="shared" si="5"/>
        <v>201000</v>
      </c>
      <c r="G7" s="321">
        <f t="shared" si="5"/>
        <v>201000</v>
      </c>
      <c r="H7" s="321">
        <f t="shared" si="5"/>
        <v>201000</v>
      </c>
      <c r="I7" s="321">
        <f t="shared" si="5"/>
        <v>201000</v>
      </c>
      <c r="J7" s="321">
        <f t="shared" si="5"/>
        <v>201000</v>
      </c>
      <c r="K7" s="321">
        <f t="shared" si="5"/>
        <v>201000</v>
      </c>
      <c r="L7" s="321">
        <f t="shared" si="5"/>
        <v>201000</v>
      </c>
      <c r="M7" s="321">
        <f t="shared" ref="M7" si="13">+L7</f>
        <v>201000</v>
      </c>
      <c r="N7" s="321">
        <f t="shared" si="7"/>
        <v>201000</v>
      </c>
      <c r="O7" s="321">
        <f t="shared" si="2"/>
        <v>201000</v>
      </c>
      <c r="P7" s="322">
        <f t="shared" si="8"/>
        <v>205020</v>
      </c>
      <c r="Q7" s="321">
        <f t="shared" si="2"/>
        <v>205020</v>
      </c>
      <c r="R7" s="321">
        <f t="shared" si="2"/>
        <v>205020</v>
      </c>
      <c r="S7" s="321">
        <f t="shared" si="2"/>
        <v>205020</v>
      </c>
      <c r="T7" s="321">
        <f t="shared" si="2"/>
        <v>205020</v>
      </c>
      <c r="U7" s="321">
        <f t="shared" si="2"/>
        <v>205020</v>
      </c>
      <c r="V7" s="321">
        <f t="shared" si="2"/>
        <v>205020</v>
      </c>
      <c r="W7" s="321">
        <f t="shared" si="2"/>
        <v>205020</v>
      </c>
      <c r="X7" s="321">
        <f t="shared" si="2"/>
        <v>205020</v>
      </c>
      <c r="Y7" s="321">
        <f t="shared" ref="Y7" si="14">+X7</f>
        <v>205020</v>
      </c>
      <c r="Z7" s="321">
        <f t="shared" si="2"/>
        <v>205020</v>
      </c>
      <c r="AA7" s="321">
        <f t="shared" si="2"/>
        <v>205020</v>
      </c>
      <c r="AB7" s="322">
        <f t="shared" si="10"/>
        <v>209120.4</v>
      </c>
      <c r="AC7" s="321">
        <f t="shared" si="2"/>
        <v>209120.4</v>
      </c>
      <c r="AD7" s="321">
        <f t="shared" si="2"/>
        <v>209120.4</v>
      </c>
      <c r="AE7" s="321">
        <f t="shared" si="2"/>
        <v>209120.4</v>
      </c>
      <c r="AF7" s="321">
        <f t="shared" si="2"/>
        <v>209120.4</v>
      </c>
      <c r="AG7" s="321">
        <f t="shared" si="2"/>
        <v>209120.4</v>
      </c>
      <c r="AH7" s="321">
        <f t="shared" si="2"/>
        <v>209120.4</v>
      </c>
      <c r="AI7" s="321">
        <f t="shared" si="2"/>
        <v>209120.4</v>
      </c>
      <c r="AJ7" s="321">
        <f t="shared" si="2"/>
        <v>209120.4</v>
      </c>
      <c r="AK7" s="321">
        <f t="shared" ref="AK7" si="15">+AJ7</f>
        <v>209120.4</v>
      </c>
      <c r="AL7" s="321">
        <f t="shared" si="2"/>
        <v>209120.4</v>
      </c>
      <c r="AM7" s="321">
        <f t="shared" si="2"/>
        <v>209120.4</v>
      </c>
      <c r="AN7" s="322">
        <f t="shared" si="12"/>
        <v>213302.80799999999</v>
      </c>
      <c r="AO7" s="321">
        <f t="shared" si="2"/>
        <v>213302.80799999999</v>
      </c>
      <c r="AP7" s="321">
        <f t="shared" si="2"/>
        <v>213302.80799999999</v>
      </c>
      <c r="AQ7" s="321">
        <f t="shared" si="2"/>
        <v>213302.80799999999</v>
      </c>
      <c r="AR7" s="321">
        <f t="shared" si="2"/>
        <v>213302.80799999999</v>
      </c>
      <c r="AS7" s="321">
        <f t="shared" si="2"/>
        <v>213302.80799999999</v>
      </c>
      <c r="AT7" s="321"/>
      <c r="AU7" s="321"/>
    </row>
    <row r="8" spans="2:62" x14ac:dyDescent="0.2">
      <c r="B8" s="323" t="s">
        <v>288</v>
      </c>
      <c r="C8" s="324"/>
      <c r="D8" s="324">
        <f>+'Rent roll and financial info'!P16*'Rent roll and financial info'!J16/12</f>
        <v>12750</v>
      </c>
      <c r="E8" s="324">
        <f t="shared" si="5"/>
        <v>12750</v>
      </c>
      <c r="F8" s="324">
        <f t="shared" si="5"/>
        <v>12750</v>
      </c>
      <c r="G8" s="324">
        <f t="shared" si="5"/>
        <v>12750</v>
      </c>
      <c r="H8" s="324">
        <f t="shared" si="5"/>
        <v>12750</v>
      </c>
      <c r="I8" s="324">
        <f t="shared" si="5"/>
        <v>12750</v>
      </c>
      <c r="J8" s="324">
        <f t="shared" si="5"/>
        <v>12750</v>
      </c>
      <c r="K8" s="324">
        <f t="shared" si="5"/>
        <v>12750</v>
      </c>
      <c r="L8" s="324">
        <f t="shared" si="5"/>
        <v>12750</v>
      </c>
      <c r="M8" s="324">
        <f t="shared" ref="M8" si="16">+L8</f>
        <v>12750</v>
      </c>
      <c r="N8" s="324">
        <f t="shared" si="7"/>
        <v>12750</v>
      </c>
      <c r="O8" s="324">
        <f t="shared" si="2"/>
        <v>12750</v>
      </c>
      <c r="P8" s="325">
        <f t="shared" si="8"/>
        <v>13005</v>
      </c>
      <c r="Q8" s="324">
        <f t="shared" si="2"/>
        <v>13005</v>
      </c>
      <c r="R8" s="324">
        <f t="shared" si="2"/>
        <v>13005</v>
      </c>
      <c r="S8" s="324">
        <f t="shared" si="2"/>
        <v>13005</v>
      </c>
      <c r="T8" s="324">
        <f t="shared" si="2"/>
        <v>13005</v>
      </c>
      <c r="U8" s="324">
        <f t="shared" si="2"/>
        <v>13005</v>
      </c>
      <c r="V8" s="324">
        <f t="shared" si="2"/>
        <v>13005</v>
      </c>
      <c r="W8" s="324">
        <f t="shared" si="2"/>
        <v>13005</v>
      </c>
      <c r="X8" s="324">
        <f t="shared" si="2"/>
        <v>13005</v>
      </c>
      <c r="Y8" s="324">
        <f t="shared" ref="Y8" si="17">+X8</f>
        <v>13005</v>
      </c>
      <c r="Z8" s="324">
        <f t="shared" si="2"/>
        <v>13005</v>
      </c>
      <c r="AA8" s="324">
        <f t="shared" si="2"/>
        <v>13005</v>
      </c>
      <c r="AB8" s="325">
        <f t="shared" si="10"/>
        <v>13265.1</v>
      </c>
      <c r="AC8" s="324">
        <f t="shared" si="2"/>
        <v>13265.1</v>
      </c>
      <c r="AD8" s="324">
        <f t="shared" si="2"/>
        <v>13265.1</v>
      </c>
      <c r="AE8" s="324">
        <f t="shared" si="2"/>
        <v>13265.1</v>
      </c>
      <c r="AF8" s="324">
        <f t="shared" si="2"/>
        <v>13265.1</v>
      </c>
      <c r="AG8" s="324">
        <f t="shared" si="2"/>
        <v>13265.1</v>
      </c>
      <c r="AH8" s="324">
        <f t="shared" si="2"/>
        <v>13265.1</v>
      </c>
      <c r="AI8" s="324">
        <f t="shared" si="2"/>
        <v>13265.1</v>
      </c>
      <c r="AJ8" s="324">
        <f t="shared" si="2"/>
        <v>13265.1</v>
      </c>
      <c r="AK8" s="324">
        <f t="shared" ref="AK8" si="18">+AJ8</f>
        <v>13265.1</v>
      </c>
      <c r="AL8" s="324">
        <f t="shared" si="2"/>
        <v>13265.1</v>
      </c>
      <c r="AM8" s="324">
        <f t="shared" si="2"/>
        <v>13265.1</v>
      </c>
      <c r="AN8" s="325">
        <f t="shared" si="12"/>
        <v>13530.402</v>
      </c>
      <c r="AO8" s="324">
        <f t="shared" si="2"/>
        <v>13530.402</v>
      </c>
      <c r="AP8" s="324">
        <f t="shared" si="2"/>
        <v>13530.402</v>
      </c>
      <c r="AQ8" s="324">
        <f t="shared" si="2"/>
        <v>13530.402</v>
      </c>
      <c r="AR8" s="324">
        <f t="shared" si="2"/>
        <v>13530.402</v>
      </c>
      <c r="AS8" s="324">
        <f t="shared" si="2"/>
        <v>13530.402</v>
      </c>
      <c r="AT8" s="324"/>
      <c r="AU8" s="321"/>
    </row>
    <row r="9" spans="2:62" x14ac:dyDescent="0.2">
      <c r="B9" s="326" t="s">
        <v>203</v>
      </c>
      <c r="D9" s="321">
        <f t="shared" ref="D9:AS9" si="19">+SUM(D5:D8)</f>
        <v>6094878.3712121109</v>
      </c>
      <c r="E9" s="321">
        <f t="shared" si="19"/>
        <v>6094878.3712121109</v>
      </c>
      <c r="F9" s="321">
        <f t="shared" si="19"/>
        <v>6094878.3712121109</v>
      </c>
      <c r="G9" s="321">
        <f t="shared" si="19"/>
        <v>6094878.3712121109</v>
      </c>
      <c r="H9" s="321">
        <f t="shared" si="19"/>
        <v>6094878.3712121109</v>
      </c>
      <c r="I9" s="321">
        <f t="shared" si="19"/>
        <v>6094878.3712121109</v>
      </c>
      <c r="J9" s="321">
        <f t="shared" si="19"/>
        <v>6094878.3712121109</v>
      </c>
      <c r="K9" s="321">
        <f t="shared" si="19"/>
        <v>6094878.3712121109</v>
      </c>
      <c r="L9" s="321">
        <f t="shared" si="19"/>
        <v>6094878.3712121109</v>
      </c>
      <c r="M9" s="321">
        <f t="shared" si="19"/>
        <v>6094878.3712121109</v>
      </c>
      <c r="N9" s="321">
        <f t="shared" si="19"/>
        <v>6094878.3712121109</v>
      </c>
      <c r="O9" s="321">
        <f t="shared" si="19"/>
        <v>6094878.3712121109</v>
      </c>
      <c r="P9" s="322">
        <f t="shared" si="19"/>
        <v>6216775.9386363532</v>
      </c>
      <c r="Q9" s="321">
        <f t="shared" si="19"/>
        <v>6216775.9386363532</v>
      </c>
      <c r="R9" s="321">
        <f t="shared" si="19"/>
        <v>6216775.9386363532</v>
      </c>
      <c r="S9" s="321">
        <f t="shared" si="19"/>
        <v>6216775.9386363532</v>
      </c>
      <c r="T9" s="321">
        <f t="shared" si="19"/>
        <v>6216775.9386363532</v>
      </c>
      <c r="U9" s="321">
        <f t="shared" si="19"/>
        <v>6216775.9386363532</v>
      </c>
      <c r="V9" s="321">
        <f t="shared" si="19"/>
        <v>6216775.9386363532</v>
      </c>
      <c r="W9" s="321">
        <f t="shared" si="19"/>
        <v>6216775.9386363532</v>
      </c>
      <c r="X9" s="321">
        <f t="shared" si="19"/>
        <v>6216775.9386363532</v>
      </c>
      <c r="Y9" s="321">
        <f t="shared" si="19"/>
        <v>6216775.9386363532</v>
      </c>
      <c r="Z9" s="321">
        <f t="shared" si="19"/>
        <v>6216775.9386363532</v>
      </c>
      <c r="AA9" s="321">
        <f t="shared" si="19"/>
        <v>6216775.9386363532</v>
      </c>
      <c r="AB9" s="322">
        <f t="shared" si="19"/>
        <v>6341111.4574090801</v>
      </c>
      <c r="AC9" s="321">
        <f t="shared" si="19"/>
        <v>6341111.4574090801</v>
      </c>
      <c r="AD9" s="321">
        <f t="shared" si="19"/>
        <v>6341111.4574090801</v>
      </c>
      <c r="AE9" s="321">
        <f t="shared" si="19"/>
        <v>6341111.4574090801</v>
      </c>
      <c r="AF9" s="321">
        <f t="shared" si="19"/>
        <v>6341111.4574090801</v>
      </c>
      <c r="AG9" s="321">
        <f t="shared" si="19"/>
        <v>6341111.4574090801</v>
      </c>
      <c r="AH9" s="321">
        <f t="shared" si="19"/>
        <v>6341111.4574090801</v>
      </c>
      <c r="AI9" s="321">
        <f t="shared" si="19"/>
        <v>6341111.4574090801</v>
      </c>
      <c r="AJ9" s="321">
        <f t="shared" si="19"/>
        <v>6341111.4574090801</v>
      </c>
      <c r="AK9" s="321">
        <f t="shared" si="19"/>
        <v>6341111.4574090801</v>
      </c>
      <c r="AL9" s="321">
        <f t="shared" si="19"/>
        <v>6341111.4574090801</v>
      </c>
      <c r="AM9" s="321">
        <f t="shared" si="19"/>
        <v>6341111.4574090801</v>
      </c>
      <c r="AN9" s="322">
        <f t="shared" si="19"/>
        <v>6467933.6865572613</v>
      </c>
      <c r="AO9" s="321">
        <f t="shared" si="19"/>
        <v>6467933.6865572613</v>
      </c>
      <c r="AP9" s="321">
        <f t="shared" si="19"/>
        <v>6467933.6865572613</v>
      </c>
      <c r="AQ9" s="321">
        <f t="shared" si="19"/>
        <v>6467933.6865572613</v>
      </c>
      <c r="AR9" s="321">
        <f t="shared" si="19"/>
        <v>6467933.6865572613</v>
      </c>
      <c r="AS9" s="321">
        <f t="shared" si="19"/>
        <v>6467933.6865572613</v>
      </c>
    </row>
    <row r="10" spans="2:62" ht="15" x14ac:dyDescent="0.2">
      <c r="P10" s="328"/>
      <c r="AB10" s="328"/>
      <c r="AN10" s="328"/>
      <c r="AX10" s="314" t="s">
        <v>292</v>
      </c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</row>
    <row r="11" spans="2:62" ht="15" x14ac:dyDescent="0.2">
      <c r="B11" s="316" t="s">
        <v>290</v>
      </c>
      <c r="P11" s="328"/>
      <c r="AB11" s="328"/>
      <c r="AN11" s="328"/>
      <c r="AW11" s="314" t="s">
        <v>291</v>
      </c>
      <c r="AX11" s="314" t="s">
        <v>293</v>
      </c>
      <c r="AY11" s="314" t="s">
        <v>294</v>
      </c>
      <c r="AZ11" s="314" t="s">
        <v>295</v>
      </c>
      <c r="BA11" s="314" t="s">
        <v>296</v>
      </c>
      <c r="BB11" s="314" t="s">
        <v>297</v>
      </c>
      <c r="BC11" s="314" t="s">
        <v>298</v>
      </c>
      <c r="BD11" s="314" t="s">
        <v>299</v>
      </c>
      <c r="BE11" s="314" t="s">
        <v>300</v>
      </c>
      <c r="BF11" s="314" t="s">
        <v>301</v>
      </c>
      <c r="BG11" s="314" t="s">
        <v>302</v>
      </c>
      <c r="BH11" s="314" t="s">
        <v>303</v>
      </c>
      <c r="BI11" s="314" t="s">
        <v>304</v>
      </c>
    </row>
    <row r="12" spans="2:62" x14ac:dyDescent="0.2">
      <c r="B12" s="320" t="s">
        <v>138</v>
      </c>
      <c r="D12" s="321">
        <f>+'Rent roll and financial info'!$Q$24*'Cash flow NOI'!$AW12*'Cash flow NOI'!AX12</f>
        <v>-95613.89881193894</v>
      </c>
      <c r="E12" s="321">
        <f>+'Rent roll and financial info'!$Q$24*'Cash flow NOI'!$AW12*'Cash flow NOI'!AY12</f>
        <v>-80904.068225486801</v>
      </c>
      <c r="F12" s="321">
        <f>+'Rent roll and financial info'!$Q$24*'Cash flow NOI'!$AW12*'Cash flow NOI'!AZ12</f>
        <v>-73549.152932260724</v>
      </c>
      <c r="G12" s="321">
        <f>+'Rent roll and financial info'!$Q$24*'Cash flow NOI'!$AW12*'Cash flow NOI'!BA12</f>
        <v>-51484.407052582508</v>
      </c>
      <c r="H12" s="321">
        <f>+'Rent roll and financial info'!$Q$24*'Cash flow NOI'!$AW12*'Cash flow NOI'!BB12</f>
        <v>-44129.491759356431</v>
      </c>
      <c r="I12" s="321">
        <f>+'Rent roll and financial info'!$Q$24*'Cash flow NOI'!$AW12*'Cash flow NOI'!BC12</f>
        <v>-36774.576466130362</v>
      </c>
      <c r="J12" s="321">
        <f>+'Rent roll and financial info'!$Q$24*'Cash flow NOI'!$AW12*'Cash flow NOI'!BD12</f>
        <v>-22064.745879678216</v>
      </c>
      <c r="K12" s="321">
        <f>+'Rent roll and financial info'!$Q$24*'Cash flow NOI'!$AW12*'Cash flow NOI'!BE12</f>
        <v>-36774.576466130362</v>
      </c>
      <c r="L12" s="321">
        <f>+'Rent roll and financial info'!$Q$24*'Cash flow NOI'!$AW12*'Cash flow NOI'!BF12</f>
        <v>-51484.407052582508</v>
      </c>
      <c r="M12" s="321">
        <f>+'Rent roll and financial info'!$Q$24*'Cash flow NOI'!$AW12*'Cash flow NOI'!BG12</f>
        <v>-66194.237639034647</v>
      </c>
      <c r="N12" s="321">
        <f>+'Rent roll and financial info'!$Q$24*'Cash flow NOI'!$AW12*'Cash flow NOI'!BH12</f>
        <v>-80904.068225486801</v>
      </c>
      <c r="O12" s="321">
        <f>+'Rent roll and financial info'!$Q$24*'Cash flow NOI'!$AW12*'Cash flow NOI'!BI12</f>
        <v>-95613.89881193894</v>
      </c>
      <c r="P12" s="322">
        <f>+D12*1.02</f>
        <v>-97526.17678817772</v>
      </c>
      <c r="Q12" s="321">
        <f>+E12*1.02</f>
        <v>-82522.149589996538</v>
      </c>
      <c r="R12" s="321">
        <f t="shared" ref="R12:AA24" si="20">+F12*1.02</f>
        <v>-75020.135990905939</v>
      </c>
      <c r="S12" s="321">
        <f t="shared" si="20"/>
        <v>-52514.095193634159</v>
      </c>
      <c r="T12" s="321">
        <f t="shared" si="20"/>
        <v>-45012.081594543561</v>
      </c>
      <c r="U12" s="321">
        <f t="shared" si="20"/>
        <v>-37510.06799545297</v>
      </c>
      <c r="V12" s="321">
        <f t="shared" si="20"/>
        <v>-22506.04079727178</v>
      </c>
      <c r="W12" s="321">
        <f t="shared" si="20"/>
        <v>-37510.06799545297</v>
      </c>
      <c r="X12" s="321">
        <f t="shared" si="20"/>
        <v>-52514.095193634159</v>
      </c>
      <c r="Y12" s="321">
        <f t="shared" si="20"/>
        <v>-67518.122391815341</v>
      </c>
      <c r="Z12" s="321">
        <f t="shared" si="20"/>
        <v>-82522.149589996538</v>
      </c>
      <c r="AA12" s="321">
        <f t="shared" si="20"/>
        <v>-97526.17678817772</v>
      </c>
      <c r="AB12" s="322">
        <f>+P12*1.02</f>
        <v>-99476.700323941273</v>
      </c>
      <c r="AC12" s="321">
        <f>+Q12*1.02</f>
        <v>-84172.592581796474</v>
      </c>
      <c r="AD12" s="321">
        <f t="shared" ref="AD12:AD24" si="21">+R12*1.02</f>
        <v>-76520.538710724053</v>
      </c>
      <c r="AE12" s="321">
        <f t="shared" ref="AE12:AE24" si="22">+S12*1.02</f>
        <v>-53564.37709750684</v>
      </c>
      <c r="AF12" s="321">
        <f t="shared" ref="AF12:AF24" si="23">+T12*1.02</f>
        <v>-45912.323226434433</v>
      </c>
      <c r="AG12" s="321">
        <f t="shared" ref="AG12:AG24" si="24">+U12*1.02</f>
        <v>-38260.269355362027</v>
      </c>
      <c r="AH12" s="321">
        <f t="shared" ref="AH12:AH24" si="25">+V12*1.02</f>
        <v>-22956.161613217217</v>
      </c>
      <c r="AI12" s="321">
        <f t="shared" ref="AI12:AI24" si="26">+W12*1.02</f>
        <v>-38260.269355362027</v>
      </c>
      <c r="AJ12" s="321">
        <f t="shared" ref="AJ12:AJ24" si="27">+X12*1.02</f>
        <v>-53564.37709750684</v>
      </c>
      <c r="AK12" s="321">
        <f t="shared" ref="AK12:AK24" si="28">+Y12*1.02</f>
        <v>-68868.484839651646</v>
      </c>
      <c r="AL12" s="321">
        <f t="shared" ref="AL12:AL24" si="29">+Z12*1.02</f>
        <v>-84172.592581796474</v>
      </c>
      <c r="AM12" s="321">
        <f t="shared" ref="AM12" si="30">+AA12*1.02</f>
        <v>-99476.700323941273</v>
      </c>
      <c r="AN12" s="322">
        <f>+AB12*1.02</f>
        <v>-101466.23433042011</v>
      </c>
      <c r="AO12" s="321">
        <f>+AC12*1.02</f>
        <v>-85856.044433432398</v>
      </c>
      <c r="AP12" s="321">
        <f t="shared" ref="AP12:AP24" si="31">+AD12*1.02</f>
        <v>-78050.949484938537</v>
      </c>
      <c r="AQ12" s="321">
        <f t="shared" ref="AQ12:AQ24" si="32">+AE12*1.02</f>
        <v>-54635.664639456976</v>
      </c>
      <c r="AR12" s="321">
        <f t="shared" ref="AR12:AR24" si="33">+AF12*1.02</f>
        <v>-46830.569690963122</v>
      </c>
      <c r="AS12" s="321">
        <f t="shared" ref="AS12:AS24" si="34">+AG12*1.02</f>
        <v>-39025.474742469269</v>
      </c>
      <c r="AT12" s="321"/>
      <c r="AV12" s="320" t="s">
        <v>138</v>
      </c>
      <c r="AW12" s="330">
        <v>0.110195984703124</v>
      </c>
      <c r="AX12" s="329">
        <v>0.13</v>
      </c>
      <c r="AY12" s="329">
        <v>0.11</v>
      </c>
      <c r="AZ12" s="329">
        <v>0.1</v>
      </c>
      <c r="BA12" s="329">
        <v>7.0000000000000007E-2</v>
      </c>
      <c r="BB12" s="329">
        <v>0.06</v>
      </c>
      <c r="BC12" s="329">
        <v>0.05</v>
      </c>
      <c r="BD12" s="329">
        <v>0.03</v>
      </c>
      <c r="BE12" s="329">
        <v>0.05</v>
      </c>
      <c r="BF12" s="329">
        <v>7.0000000000000007E-2</v>
      </c>
      <c r="BG12" s="329">
        <v>0.09</v>
      </c>
      <c r="BH12" s="329">
        <v>0.11</v>
      </c>
      <c r="BI12" s="329">
        <v>0.13</v>
      </c>
      <c r="BJ12" s="331">
        <f>+SUM(AX12:BI12)</f>
        <v>1</v>
      </c>
    </row>
    <row r="13" spans="2:62" x14ac:dyDescent="0.2">
      <c r="B13" s="320" t="s">
        <v>305</v>
      </c>
      <c r="D13" s="321">
        <f>+'Rent roll and financial info'!$Q$24*'Cash flow NOI'!$AW13*'Cash flow NOI'!AX13</f>
        <v>-345154.32997843559</v>
      </c>
      <c r="E13" s="321">
        <f>+'Rent roll and financial info'!$Q$24*'Cash flow NOI'!$AW13*'Cash flow NOI'!AY13</f>
        <v>-280437.89310747891</v>
      </c>
      <c r="F13" s="321">
        <f>+'Rent roll and financial info'!$Q$24*'Cash flow NOI'!$AW13*'Cash flow NOI'!AZ13</f>
        <v>-215721.45623652224</v>
      </c>
      <c r="G13" s="321">
        <f>+'Rent roll and financial info'!$Q$24*'Cash flow NOI'!$AW13*'Cash flow NOI'!BA13</f>
        <v>-151005.01936556556</v>
      </c>
      <c r="H13" s="321">
        <f>+'Rent roll and financial info'!$Q$24*'Cash flow NOI'!$AW13*'Cash flow NOI'!BB13</f>
        <v>-129432.87374191332</v>
      </c>
      <c r="I13" s="321">
        <f>+'Rent roll and financial info'!$Q$24*'Cash flow NOI'!$AW13*'Cash flow NOI'!BC13</f>
        <v>-43144.291247304449</v>
      </c>
      <c r="J13" s="321">
        <f>+'Rent roll and financial info'!$Q$24*'Cash flow NOI'!$AW13*'Cash flow NOI'!BD13</f>
        <v>0</v>
      </c>
      <c r="K13" s="321">
        <f>+'Rent roll and financial info'!$Q$24*'Cash flow NOI'!$AW13*'Cash flow NOI'!BE13</f>
        <v>-64716.436870956662</v>
      </c>
      <c r="L13" s="321">
        <f>+'Rent roll and financial info'!$Q$24*'Cash flow NOI'!$AW13*'Cash flow NOI'!BF13</f>
        <v>-151005.01936556556</v>
      </c>
      <c r="M13" s="321">
        <f>+'Rent roll and financial info'!$Q$24*'Cash flow NOI'!$AW13*'Cash flow NOI'!BG13</f>
        <v>-194149.31061287</v>
      </c>
      <c r="N13" s="321">
        <f>+'Rent roll and financial info'!$Q$24*'Cash flow NOI'!$AW13*'Cash flow NOI'!BH13</f>
        <v>-237293.60186017444</v>
      </c>
      <c r="O13" s="321">
        <f>+'Rent roll and financial info'!$Q$24*'Cash flow NOI'!$AW13*'Cash flow NOI'!BI13</f>
        <v>-345154.32997843559</v>
      </c>
      <c r="P13" s="322">
        <f t="shared" ref="P13:P24" si="35">+D13*1.02</f>
        <v>-352057.41657800431</v>
      </c>
      <c r="Q13" s="321">
        <f t="shared" ref="Q13:Q22" si="36">+E13*1.02</f>
        <v>-286046.65096962848</v>
      </c>
      <c r="R13" s="321">
        <f t="shared" si="20"/>
        <v>-220035.88536125267</v>
      </c>
      <c r="S13" s="321">
        <f t="shared" si="20"/>
        <v>-154025.11975287687</v>
      </c>
      <c r="T13" s="321">
        <f t="shared" si="20"/>
        <v>-132021.53121675158</v>
      </c>
      <c r="U13" s="321">
        <f t="shared" si="20"/>
        <v>-44007.177072250539</v>
      </c>
      <c r="V13" s="321">
        <f t="shared" si="20"/>
        <v>0</v>
      </c>
      <c r="W13" s="321">
        <f t="shared" si="20"/>
        <v>-66010.76560837579</v>
      </c>
      <c r="X13" s="321">
        <f t="shared" si="20"/>
        <v>-154025.11975287687</v>
      </c>
      <c r="Y13" s="321">
        <f t="shared" si="20"/>
        <v>-198032.29682512741</v>
      </c>
      <c r="Z13" s="321">
        <f t="shared" si="20"/>
        <v>-242039.47389737793</v>
      </c>
      <c r="AA13" s="321">
        <f t="shared" ref="AA13:AA18" si="37">+O13*1.02</f>
        <v>-352057.41657800431</v>
      </c>
      <c r="AB13" s="322">
        <f t="shared" ref="AB13:AB24" si="38">+P13*1.02</f>
        <v>-359098.56490956439</v>
      </c>
      <c r="AC13" s="321">
        <f t="shared" ref="AC13:AC22" si="39">+Q13*1.02</f>
        <v>-291767.58398902108</v>
      </c>
      <c r="AD13" s="321">
        <f t="shared" si="21"/>
        <v>-224436.60306847774</v>
      </c>
      <c r="AE13" s="321">
        <f t="shared" si="22"/>
        <v>-157105.62214793439</v>
      </c>
      <c r="AF13" s="321">
        <f t="shared" si="23"/>
        <v>-134661.96184108662</v>
      </c>
      <c r="AG13" s="321">
        <f t="shared" si="24"/>
        <v>-44887.320613695549</v>
      </c>
      <c r="AH13" s="321">
        <f t="shared" si="25"/>
        <v>0</v>
      </c>
      <c r="AI13" s="321">
        <f t="shared" si="26"/>
        <v>-67330.980920543312</v>
      </c>
      <c r="AJ13" s="321">
        <f t="shared" si="27"/>
        <v>-157105.62214793439</v>
      </c>
      <c r="AK13" s="321">
        <f t="shared" si="28"/>
        <v>-201992.94276162997</v>
      </c>
      <c r="AL13" s="321">
        <f t="shared" si="29"/>
        <v>-246880.26337532551</v>
      </c>
      <c r="AM13" s="321">
        <f t="shared" ref="AM13:AM18" si="40">+AA13*1.02</f>
        <v>-359098.56490956439</v>
      </c>
      <c r="AN13" s="322">
        <f t="shared" ref="AN13:AN24" si="41">+AB13*1.02</f>
        <v>-366280.53620775568</v>
      </c>
      <c r="AO13" s="321">
        <f t="shared" ref="AO13:AO22" si="42">+AC13*1.02</f>
        <v>-297602.93566880148</v>
      </c>
      <c r="AP13" s="321">
        <f t="shared" si="31"/>
        <v>-228925.33512984728</v>
      </c>
      <c r="AQ13" s="321">
        <f t="shared" si="32"/>
        <v>-160247.73459089309</v>
      </c>
      <c r="AR13" s="321">
        <f t="shared" si="33"/>
        <v>-137355.20107790836</v>
      </c>
      <c r="AS13" s="321">
        <f t="shared" si="34"/>
        <v>-45785.06702596946</v>
      </c>
      <c r="AT13" s="321"/>
      <c r="AV13" s="320" t="s">
        <v>305</v>
      </c>
      <c r="AW13" s="330">
        <v>0.32320750605339099</v>
      </c>
      <c r="AX13" s="329">
        <v>0.16</v>
      </c>
      <c r="AY13" s="329">
        <v>0.13</v>
      </c>
      <c r="AZ13" s="329">
        <v>0.1</v>
      </c>
      <c r="BA13" s="329">
        <v>7.0000000000000007E-2</v>
      </c>
      <c r="BB13" s="329">
        <v>0.06</v>
      </c>
      <c r="BC13" s="329">
        <v>0.02</v>
      </c>
      <c r="BD13" s="329">
        <v>0</v>
      </c>
      <c r="BE13" s="329">
        <v>0.03</v>
      </c>
      <c r="BF13" s="329">
        <v>7.0000000000000007E-2</v>
      </c>
      <c r="BG13" s="329">
        <v>0.09</v>
      </c>
      <c r="BH13" s="329">
        <v>0.11</v>
      </c>
      <c r="BI13" s="329">
        <v>0.16</v>
      </c>
      <c r="BJ13" s="331">
        <f>+SUM(AX13:BI13)</f>
        <v>1</v>
      </c>
    </row>
    <row r="14" spans="2:62" x14ac:dyDescent="0.2">
      <c r="B14" s="320" t="s">
        <v>306</v>
      </c>
      <c r="D14" s="321">
        <f>+'Rent roll and financial info'!$Q$24*'Cash flow NOI'!$AW14*'Cash flow NOI'!AX14</f>
        <v>-44620.409032940035</v>
      </c>
      <c r="E14" s="321">
        <f>+'Rent roll and financial info'!$Q$24*'Cash flow NOI'!$AW14*'Cash flow NOI'!AY14</f>
        <v>-40158.368129646027</v>
      </c>
      <c r="F14" s="321">
        <f>+'Rent roll and financial info'!$Q$24*'Cash flow NOI'!$AW14*'Cash flow NOI'!AZ14</f>
        <v>-44620.409032940035</v>
      </c>
      <c r="G14" s="321">
        <f>+'Rent roll and financial info'!$Q$24*'Cash flow NOI'!$AW14*'Cash flow NOI'!BA14</f>
        <v>-44620.409032940035</v>
      </c>
      <c r="H14" s="321">
        <f>+'Rent roll and financial info'!$Q$24*'Cash flow NOI'!$AW14*'Cash flow NOI'!BB14</f>
        <v>-40158.368129646027</v>
      </c>
      <c r="I14" s="321">
        <f>+'Rent roll and financial info'!$Q$24*'Cash flow NOI'!$AW14*'Cash flow NOI'!BC14</f>
        <v>-44620.409032940035</v>
      </c>
      <c r="J14" s="321">
        <f>+'Rent roll and financial info'!$Q$24*'Cash flow NOI'!$AW14*'Cash flow NOI'!BD14</f>
        <v>-8924.0818065880067</v>
      </c>
      <c r="K14" s="321">
        <f>+'Rent roll and financial info'!$Q$24*'Cash flow NOI'!$AW14*'Cash flow NOI'!BE14</f>
        <v>-17848.163613176013</v>
      </c>
      <c r="L14" s="321">
        <f>+'Rent roll and financial info'!$Q$24*'Cash flow NOI'!$AW14*'Cash flow NOI'!BF14</f>
        <v>-40158.368129646027</v>
      </c>
      <c r="M14" s="321">
        <f>+'Rent roll and financial info'!$Q$24*'Cash flow NOI'!$AW14*'Cash flow NOI'!BG14</f>
        <v>-40158.368129646027</v>
      </c>
      <c r="N14" s="321">
        <f>+'Rent roll and financial info'!$Q$24*'Cash flow NOI'!$AW14*'Cash flow NOI'!BH14</f>
        <v>-40158.368129646027</v>
      </c>
      <c r="O14" s="321">
        <f>+'Rent roll and financial info'!$Q$24*'Cash flow NOI'!$AW14*'Cash flow NOI'!BI14</f>
        <v>-40158.368129646027</v>
      </c>
      <c r="P14" s="322">
        <f t="shared" si="35"/>
        <v>-45512.817213598835</v>
      </c>
      <c r="Q14" s="321">
        <f t="shared" si="36"/>
        <v>-40961.535492238945</v>
      </c>
      <c r="R14" s="321">
        <f t="shared" si="20"/>
        <v>-45512.817213598835</v>
      </c>
      <c r="S14" s="321">
        <f t="shared" si="20"/>
        <v>-45512.817213598835</v>
      </c>
      <c r="T14" s="321">
        <f t="shared" si="20"/>
        <v>-40961.535492238945</v>
      </c>
      <c r="U14" s="321">
        <f t="shared" si="20"/>
        <v>-45512.817213598835</v>
      </c>
      <c r="V14" s="321">
        <f t="shared" si="20"/>
        <v>-9102.5634427197674</v>
      </c>
      <c r="W14" s="321">
        <f t="shared" si="20"/>
        <v>-18205.126885439535</v>
      </c>
      <c r="X14" s="321">
        <f t="shared" si="20"/>
        <v>-40961.535492238945</v>
      </c>
      <c r="Y14" s="321">
        <f t="shared" si="20"/>
        <v>-40961.535492238945</v>
      </c>
      <c r="Z14" s="321">
        <f t="shared" si="20"/>
        <v>-40961.535492238945</v>
      </c>
      <c r="AA14" s="321">
        <f t="shared" si="37"/>
        <v>-40961.535492238945</v>
      </c>
      <c r="AB14" s="322">
        <f t="shared" si="38"/>
        <v>-46423.073557870812</v>
      </c>
      <c r="AC14" s="321">
        <f t="shared" si="39"/>
        <v>-41780.766202083723</v>
      </c>
      <c r="AD14" s="321">
        <f t="shared" si="21"/>
        <v>-46423.073557870812</v>
      </c>
      <c r="AE14" s="321">
        <f t="shared" si="22"/>
        <v>-46423.073557870812</v>
      </c>
      <c r="AF14" s="321">
        <f t="shared" si="23"/>
        <v>-41780.766202083723</v>
      </c>
      <c r="AG14" s="321">
        <f t="shared" si="24"/>
        <v>-46423.073557870812</v>
      </c>
      <c r="AH14" s="321">
        <f t="shared" si="25"/>
        <v>-9284.6147115741624</v>
      </c>
      <c r="AI14" s="321">
        <f t="shared" si="26"/>
        <v>-18569.229423148325</v>
      </c>
      <c r="AJ14" s="321">
        <f t="shared" si="27"/>
        <v>-41780.766202083723</v>
      </c>
      <c r="AK14" s="321">
        <f t="shared" si="28"/>
        <v>-41780.766202083723</v>
      </c>
      <c r="AL14" s="321">
        <f t="shared" si="29"/>
        <v>-41780.766202083723</v>
      </c>
      <c r="AM14" s="321">
        <f t="shared" si="40"/>
        <v>-41780.766202083723</v>
      </c>
      <c r="AN14" s="322">
        <f t="shared" si="41"/>
        <v>-47351.535029028229</v>
      </c>
      <c r="AO14" s="321">
        <f t="shared" si="42"/>
        <v>-42616.381526125399</v>
      </c>
      <c r="AP14" s="321">
        <f t="shared" si="31"/>
        <v>-47351.535029028229</v>
      </c>
      <c r="AQ14" s="321">
        <f t="shared" si="32"/>
        <v>-47351.535029028229</v>
      </c>
      <c r="AR14" s="321">
        <f t="shared" si="33"/>
        <v>-42616.381526125399</v>
      </c>
      <c r="AS14" s="321">
        <f t="shared" si="34"/>
        <v>-47351.535029028229</v>
      </c>
      <c r="AT14" s="321"/>
      <c r="AV14" s="320" t="s">
        <v>306</v>
      </c>
      <c r="AW14" s="330">
        <v>6.6853114076916395E-2</v>
      </c>
      <c r="AX14" s="331">
        <v>0.1</v>
      </c>
      <c r="AY14" s="331">
        <v>0.09</v>
      </c>
      <c r="AZ14" s="331">
        <v>0.1</v>
      </c>
      <c r="BA14" s="331">
        <v>0.1</v>
      </c>
      <c r="BB14" s="331">
        <v>0.09</v>
      </c>
      <c r="BC14" s="331">
        <v>0.1</v>
      </c>
      <c r="BD14" s="331">
        <v>0.02</v>
      </c>
      <c r="BE14" s="331">
        <v>0.04</v>
      </c>
      <c r="BF14" s="331">
        <v>0.09</v>
      </c>
      <c r="BG14" s="331">
        <v>0.09</v>
      </c>
      <c r="BH14" s="331">
        <v>0.09</v>
      </c>
      <c r="BI14" s="331">
        <v>0.09</v>
      </c>
      <c r="BJ14" s="331">
        <f>+SUM(AX14:BI14)</f>
        <v>0.99999999999999989</v>
      </c>
    </row>
    <row r="15" spans="2:62" x14ac:dyDescent="0.2">
      <c r="B15" s="320" t="s">
        <v>307</v>
      </c>
      <c r="D15" s="321">
        <f>+'Rent roll and financial info'!$Q$24*'Cash flow NOI'!$AW15*'Cash flow NOI'!AX15</f>
        <v>-28100.191993898537</v>
      </c>
      <c r="E15" s="321">
        <f>+'Rent roll and financial info'!$Q$24*'Cash flow NOI'!$AW15*'Cash flow NOI'!AY15</f>
        <v>-25290.172794508682</v>
      </c>
      <c r="F15" s="321">
        <f>+'Rent roll and financial info'!$Q$24*'Cash flow NOI'!$AW15*'Cash flow NOI'!AZ15</f>
        <v>-28100.191993898537</v>
      </c>
      <c r="G15" s="321">
        <f>+'Rent roll and financial info'!$Q$24*'Cash flow NOI'!$AW15*'Cash flow NOI'!BA15</f>
        <v>-28100.191993898537</v>
      </c>
      <c r="H15" s="321">
        <f>+'Rent roll and financial info'!$Q$24*'Cash flow NOI'!$AW15*'Cash flow NOI'!BB15</f>
        <v>-25290.172794508682</v>
      </c>
      <c r="I15" s="321">
        <f>+'Rent roll and financial info'!$Q$24*'Cash flow NOI'!$AW15*'Cash flow NOI'!BC15</f>
        <v>-28100.191993898537</v>
      </c>
      <c r="J15" s="321">
        <f>+'Rent roll and financial info'!$Q$24*'Cash flow NOI'!$AW15*'Cash flow NOI'!BD15</f>
        <v>-5620.0383987797077</v>
      </c>
      <c r="K15" s="321">
        <f>+'Rent roll and financial info'!$Q$24*'Cash flow NOI'!$AW15*'Cash flow NOI'!BE15</f>
        <v>-11240.076797559415</v>
      </c>
      <c r="L15" s="321">
        <f>+'Rent roll and financial info'!$Q$24*'Cash flow NOI'!$AW15*'Cash flow NOI'!BF15</f>
        <v>-25290.172794508682</v>
      </c>
      <c r="M15" s="321">
        <f>+'Rent roll and financial info'!$Q$24*'Cash flow NOI'!$AW15*'Cash flow NOI'!BG15</f>
        <v>-25290.172794508682</v>
      </c>
      <c r="N15" s="321">
        <f>+'Rent roll and financial info'!$Q$24*'Cash flow NOI'!$AW15*'Cash flow NOI'!BH15</f>
        <v>-25290.172794508682</v>
      </c>
      <c r="O15" s="321">
        <f>+'Rent roll and financial info'!$Q$24*'Cash flow NOI'!$AW15*'Cash flow NOI'!BI15</f>
        <v>-25290.172794508682</v>
      </c>
      <c r="P15" s="322">
        <f t="shared" si="35"/>
        <v>-28662.19583377651</v>
      </c>
      <c r="Q15" s="321">
        <f t="shared" si="36"/>
        <v>-25795.976250398857</v>
      </c>
      <c r="R15" s="321">
        <f t="shared" si="20"/>
        <v>-28662.19583377651</v>
      </c>
      <c r="S15" s="321">
        <f t="shared" si="20"/>
        <v>-28662.19583377651</v>
      </c>
      <c r="T15" s="321">
        <f t="shared" si="20"/>
        <v>-25795.976250398857</v>
      </c>
      <c r="U15" s="321">
        <f t="shared" si="20"/>
        <v>-28662.19583377651</v>
      </c>
      <c r="V15" s="321">
        <f t="shared" si="20"/>
        <v>-5732.4391667553018</v>
      </c>
      <c r="W15" s="321">
        <f t="shared" si="20"/>
        <v>-11464.878333510604</v>
      </c>
      <c r="X15" s="321">
        <f t="shared" si="20"/>
        <v>-25795.976250398857</v>
      </c>
      <c r="Y15" s="321">
        <f t="shared" si="20"/>
        <v>-25795.976250398857</v>
      </c>
      <c r="Z15" s="321">
        <f t="shared" si="20"/>
        <v>-25795.976250398857</v>
      </c>
      <c r="AA15" s="321">
        <f t="shared" si="37"/>
        <v>-25795.976250398857</v>
      </c>
      <c r="AB15" s="322">
        <f t="shared" si="38"/>
        <v>-29235.439750452042</v>
      </c>
      <c r="AC15" s="321">
        <f t="shared" si="39"/>
        <v>-26311.895775406836</v>
      </c>
      <c r="AD15" s="321">
        <f t="shared" si="21"/>
        <v>-29235.439750452042</v>
      </c>
      <c r="AE15" s="321">
        <f t="shared" si="22"/>
        <v>-29235.439750452042</v>
      </c>
      <c r="AF15" s="321">
        <f t="shared" si="23"/>
        <v>-26311.895775406836</v>
      </c>
      <c r="AG15" s="321">
        <f t="shared" si="24"/>
        <v>-29235.439750452042</v>
      </c>
      <c r="AH15" s="321">
        <f t="shared" si="25"/>
        <v>-5847.0879500904075</v>
      </c>
      <c r="AI15" s="321">
        <f t="shared" si="26"/>
        <v>-11694.175900180815</v>
      </c>
      <c r="AJ15" s="321">
        <f t="shared" si="27"/>
        <v>-26311.895775406836</v>
      </c>
      <c r="AK15" s="321">
        <f t="shared" si="28"/>
        <v>-26311.895775406836</v>
      </c>
      <c r="AL15" s="321">
        <f t="shared" si="29"/>
        <v>-26311.895775406836</v>
      </c>
      <c r="AM15" s="321">
        <f t="shared" si="40"/>
        <v>-26311.895775406836</v>
      </c>
      <c r="AN15" s="322">
        <f t="shared" si="41"/>
        <v>-29820.148545461085</v>
      </c>
      <c r="AO15" s="321">
        <f t="shared" si="42"/>
        <v>-26838.133690914972</v>
      </c>
      <c r="AP15" s="321">
        <f t="shared" si="31"/>
        <v>-29820.148545461085</v>
      </c>
      <c r="AQ15" s="321">
        <f t="shared" si="32"/>
        <v>-29820.148545461085</v>
      </c>
      <c r="AR15" s="321">
        <f t="shared" si="33"/>
        <v>-26838.133690914972</v>
      </c>
      <c r="AS15" s="321">
        <f t="shared" si="34"/>
        <v>-29820.148545461085</v>
      </c>
      <c r="AT15" s="321"/>
      <c r="AV15" s="320" t="s">
        <v>307</v>
      </c>
      <c r="AW15" s="330">
        <v>4.2101481848015501E-2</v>
      </c>
      <c r="AX15" s="331">
        <v>0.1</v>
      </c>
      <c r="AY15" s="331">
        <v>0.09</v>
      </c>
      <c r="AZ15" s="331">
        <v>0.1</v>
      </c>
      <c r="BA15" s="331">
        <v>0.1</v>
      </c>
      <c r="BB15" s="331">
        <v>0.09</v>
      </c>
      <c r="BC15" s="331">
        <v>0.1</v>
      </c>
      <c r="BD15" s="331">
        <v>0.02</v>
      </c>
      <c r="BE15" s="331">
        <v>0.04</v>
      </c>
      <c r="BF15" s="331">
        <v>0.09</v>
      </c>
      <c r="BG15" s="331">
        <v>0.09</v>
      </c>
      <c r="BH15" s="331">
        <v>0.09</v>
      </c>
      <c r="BI15" s="331">
        <v>0.09</v>
      </c>
      <c r="BJ15" s="331">
        <f>+SUM(AX15:BI15)</f>
        <v>0.99999999999999989</v>
      </c>
    </row>
    <row r="16" spans="2:62" x14ac:dyDescent="0.2">
      <c r="B16" s="320" t="s">
        <v>308</v>
      </c>
      <c r="D16" s="321">
        <f>+'Rent roll and financial info'!$Q$24*'Cash flow NOI'!$AW16*'Cash flow NOI'!AX16</f>
        <v>-45627.17773797772</v>
      </c>
      <c r="E16" s="321">
        <f>+'Rent roll and financial info'!$Q$24*'Cash flow NOI'!$AW16*'Cash flow NOI'!AY16</f>
        <v>-41064.459964179943</v>
      </c>
      <c r="F16" s="321">
        <f>+'Rent roll and financial info'!$Q$24*'Cash flow NOI'!$AW16*'Cash flow NOI'!AZ16</f>
        <v>-45627.17773797772</v>
      </c>
      <c r="G16" s="321">
        <f>+'Rent roll and financial info'!$Q$24*'Cash flow NOI'!$AW16*'Cash flow NOI'!BA16</f>
        <v>-45627.17773797772</v>
      </c>
      <c r="H16" s="321">
        <f>+'Rent roll and financial info'!$Q$24*'Cash flow NOI'!$AW16*'Cash flow NOI'!BB16</f>
        <v>-41064.459964179943</v>
      </c>
      <c r="I16" s="321">
        <f>+'Rent roll and financial info'!$Q$24*'Cash flow NOI'!$AW16*'Cash flow NOI'!BC16</f>
        <v>-45627.17773797772</v>
      </c>
      <c r="J16" s="321">
        <f>+'Rent roll and financial info'!$Q$24*'Cash flow NOI'!$AW16*'Cash flow NOI'!BD16</f>
        <v>-9125.4355475955435</v>
      </c>
      <c r="K16" s="321">
        <f>+'Rent roll and financial info'!$Q$24*'Cash flow NOI'!$AW16*'Cash flow NOI'!BE16</f>
        <v>-18250.871095191087</v>
      </c>
      <c r="L16" s="321">
        <f>+'Rent roll and financial info'!$Q$24*'Cash flow NOI'!$AW16*'Cash flow NOI'!BF16</f>
        <v>-41064.459964179943</v>
      </c>
      <c r="M16" s="321">
        <f>+'Rent roll and financial info'!$Q$24*'Cash flow NOI'!$AW16*'Cash flow NOI'!BG16</f>
        <v>-41064.459964179943</v>
      </c>
      <c r="N16" s="321">
        <f>+'Rent roll and financial info'!$Q$24*'Cash flow NOI'!$AW16*'Cash flow NOI'!BH16</f>
        <v>-41064.459964179943</v>
      </c>
      <c r="O16" s="321">
        <f>+'Rent roll and financial info'!$Q$24*'Cash flow NOI'!$AW16*'Cash flow NOI'!BI16</f>
        <v>-41064.459964179943</v>
      </c>
      <c r="P16" s="322">
        <f t="shared" si="35"/>
        <v>-46539.721292737275</v>
      </c>
      <c r="Q16" s="321">
        <f t="shared" si="36"/>
        <v>-41885.749163463544</v>
      </c>
      <c r="R16" s="321">
        <f t="shared" si="20"/>
        <v>-46539.721292737275</v>
      </c>
      <c r="S16" s="321">
        <f t="shared" si="20"/>
        <v>-46539.721292737275</v>
      </c>
      <c r="T16" s="321">
        <f t="shared" si="20"/>
        <v>-41885.749163463544</v>
      </c>
      <c r="U16" s="321">
        <f t="shared" si="20"/>
        <v>-46539.721292737275</v>
      </c>
      <c r="V16" s="321">
        <f t="shared" si="20"/>
        <v>-9307.9442585474553</v>
      </c>
      <c r="W16" s="321">
        <f t="shared" si="20"/>
        <v>-18615.888517094911</v>
      </c>
      <c r="X16" s="321">
        <f t="shared" si="20"/>
        <v>-41885.749163463544</v>
      </c>
      <c r="Y16" s="321">
        <f t="shared" si="20"/>
        <v>-41885.749163463544</v>
      </c>
      <c r="Z16" s="321">
        <f t="shared" si="20"/>
        <v>-41885.749163463544</v>
      </c>
      <c r="AA16" s="321">
        <f t="shared" si="37"/>
        <v>-41885.749163463544</v>
      </c>
      <c r="AB16" s="322">
        <f t="shared" si="38"/>
        <v>-47470.515718592018</v>
      </c>
      <c r="AC16" s="321">
        <f t="shared" si="39"/>
        <v>-42723.464146732818</v>
      </c>
      <c r="AD16" s="321">
        <f t="shared" si="21"/>
        <v>-47470.515718592018</v>
      </c>
      <c r="AE16" s="321">
        <f t="shared" si="22"/>
        <v>-47470.515718592018</v>
      </c>
      <c r="AF16" s="321">
        <f t="shared" si="23"/>
        <v>-42723.464146732818</v>
      </c>
      <c r="AG16" s="321">
        <f t="shared" si="24"/>
        <v>-47470.515718592018</v>
      </c>
      <c r="AH16" s="321">
        <f t="shared" si="25"/>
        <v>-9494.1031437184047</v>
      </c>
      <c r="AI16" s="321">
        <f t="shared" si="26"/>
        <v>-18988.206287436809</v>
      </c>
      <c r="AJ16" s="321">
        <f t="shared" si="27"/>
        <v>-42723.464146732818</v>
      </c>
      <c r="AK16" s="321">
        <f t="shared" si="28"/>
        <v>-42723.464146732818</v>
      </c>
      <c r="AL16" s="321">
        <f t="shared" si="29"/>
        <v>-42723.464146732818</v>
      </c>
      <c r="AM16" s="321">
        <f t="shared" si="40"/>
        <v>-42723.464146732818</v>
      </c>
      <c r="AN16" s="322">
        <f t="shared" si="41"/>
        <v>-48419.926032963856</v>
      </c>
      <c r="AO16" s="321">
        <f t="shared" si="42"/>
        <v>-43577.933429667479</v>
      </c>
      <c r="AP16" s="321">
        <f t="shared" si="31"/>
        <v>-48419.926032963856</v>
      </c>
      <c r="AQ16" s="321">
        <f t="shared" si="32"/>
        <v>-48419.926032963856</v>
      </c>
      <c r="AR16" s="321">
        <f t="shared" si="33"/>
        <v>-43577.933429667479</v>
      </c>
      <c r="AS16" s="321">
        <f t="shared" si="34"/>
        <v>-48419.926032963856</v>
      </c>
      <c r="AT16" s="321"/>
      <c r="AV16" s="320" t="s">
        <v>308</v>
      </c>
      <c r="AW16" s="330">
        <v>6.8361518516626182E-2</v>
      </c>
      <c r="AX16" s="331">
        <v>0.1</v>
      </c>
      <c r="AY16" s="331">
        <v>0.09</v>
      </c>
      <c r="AZ16" s="331">
        <v>0.1</v>
      </c>
      <c r="BA16" s="331">
        <v>0.1</v>
      </c>
      <c r="BB16" s="331">
        <v>0.09</v>
      </c>
      <c r="BC16" s="331">
        <v>0.1</v>
      </c>
      <c r="BD16" s="331">
        <v>0.02</v>
      </c>
      <c r="BE16" s="331">
        <v>0.04</v>
      </c>
      <c r="BF16" s="331">
        <v>0.09</v>
      </c>
      <c r="BG16" s="331">
        <v>0.09</v>
      </c>
      <c r="BH16" s="331">
        <v>0.09</v>
      </c>
      <c r="BI16" s="331">
        <v>0.09</v>
      </c>
      <c r="BJ16" s="331">
        <f>+SUM(AX16:BI16)</f>
        <v>0.99999999999999989</v>
      </c>
    </row>
    <row r="17" spans="2:62" x14ac:dyDescent="0.2">
      <c r="B17" s="320" t="s">
        <v>309</v>
      </c>
      <c r="D17" s="321">
        <f>+'Rent roll and financial info'!$Q$24*'Cash flow NOI'!$AW17*'Cash flow NOI'!AX17</f>
        <v>0</v>
      </c>
      <c r="E17" s="321">
        <f>+'Rent roll and financial info'!$Q$24*'Cash flow NOI'!$AW17*'Cash flow NOI'!AY17</f>
        <v>0</v>
      </c>
      <c r="F17" s="321">
        <f>+'Rent roll and financial info'!$Q$24*'Cash flow NOI'!$AW17*'Cash flow NOI'!AZ17</f>
        <v>-13502.290284228102</v>
      </c>
      <c r="G17" s="321">
        <f>+'Rent roll and financial info'!$Q$24*'Cash flow NOI'!$AW17*'Cash flow NOI'!BA17</f>
        <v>-20253.435426342152</v>
      </c>
      <c r="H17" s="321">
        <f>+'Rent roll and financial info'!$Q$24*'Cash flow NOI'!$AW17*'Cash flow NOI'!BB17</f>
        <v>-23629.007997399178</v>
      </c>
      <c r="I17" s="321">
        <f>+'Rent roll and financial info'!$Q$24*'Cash flow NOI'!$AW17*'Cash flow NOI'!BC17</f>
        <v>-20253.435426342152</v>
      </c>
      <c r="J17" s="321">
        <f>+'Rent roll and financial info'!$Q$24*'Cash flow NOI'!$AW17*'Cash flow NOI'!BD17</f>
        <v>-20253.435426342152</v>
      </c>
      <c r="K17" s="321">
        <f>+'Rent roll and financial info'!$Q$24*'Cash flow NOI'!$AW17*'Cash flow NOI'!BE17</f>
        <v>-20253.435426342152</v>
      </c>
      <c r="L17" s="321">
        <f>+'Rent roll and financial info'!$Q$24*'Cash flow NOI'!$AW17*'Cash flow NOI'!BF17</f>
        <v>-30380.153139513226</v>
      </c>
      <c r="M17" s="321">
        <f>+'Rent roll and financial info'!$Q$24*'Cash flow NOI'!$AW17*'Cash flow NOI'!BG17</f>
        <v>-20253.435426342152</v>
      </c>
      <c r="N17" s="321">
        <f>+'Rent roll and financial info'!$Q$24*'Cash flow NOI'!$AW17*'Cash flow NOI'!BH17</f>
        <v>0</v>
      </c>
      <c r="O17" s="321">
        <f>+'Rent roll and financial info'!$Q$24*'Cash flow NOI'!$AW17*'Cash flow NOI'!BI17</f>
        <v>0</v>
      </c>
      <c r="P17" s="322">
        <f t="shared" si="35"/>
        <v>0</v>
      </c>
      <c r="Q17" s="321">
        <f t="shared" si="36"/>
        <v>0</v>
      </c>
      <c r="R17" s="321">
        <f t="shared" si="20"/>
        <v>-13772.336089912664</v>
      </c>
      <c r="S17" s="321">
        <f t="shared" si="20"/>
        <v>-20658.504134868996</v>
      </c>
      <c r="T17" s="321">
        <f t="shared" si="20"/>
        <v>-24101.588157347163</v>
      </c>
      <c r="U17" s="321">
        <f t="shared" si="20"/>
        <v>-20658.504134868996</v>
      </c>
      <c r="V17" s="321">
        <f t="shared" si="20"/>
        <v>-20658.504134868996</v>
      </c>
      <c r="W17" s="321">
        <f t="shared" si="20"/>
        <v>-20658.504134868996</v>
      </c>
      <c r="X17" s="321">
        <f t="shared" si="20"/>
        <v>-30987.756202303492</v>
      </c>
      <c r="Y17" s="321">
        <f t="shared" si="20"/>
        <v>-20658.504134868996</v>
      </c>
      <c r="Z17" s="321">
        <f t="shared" si="20"/>
        <v>0</v>
      </c>
      <c r="AA17" s="321">
        <f t="shared" si="37"/>
        <v>0</v>
      </c>
      <c r="AB17" s="322">
        <f t="shared" si="38"/>
        <v>0</v>
      </c>
      <c r="AC17" s="321">
        <f t="shared" si="39"/>
        <v>0</v>
      </c>
      <c r="AD17" s="321">
        <f t="shared" si="21"/>
        <v>-14047.782811710917</v>
      </c>
      <c r="AE17" s="321">
        <f t="shared" si="22"/>
        <v>-21071.674217566375</v>
      </c>
      <c r="AF17" s="321">
        <f t="shared" si="23"/>
        <v>-24583.619920494108</v>
      </c>
      <c r="AG17" s="321">
        <f t="shared" si="24"/>
        <v>-21071.674217566375</v>
      </c>
      <c r="AH17" s="321">
        <f t="shared" si="25"/>
        <v>-21071.674217566375</v>
      </c>
      <c r="AI17" s="321">
        <f t="shared" si="26"/>
        <v>-21071.674217566375</v>
      </c>
      <c r="AJ17" s="321">
        <f t="shared" si="27"/>
        <v>-31607.511326349562</v>
      </c>
      <c r="AK17" s="321">
        <f t="shared" si="28"/>
        <v>-21071.674217566375</v>
      </c>
      <c r="AL17" s="321">
        <f t="shared" si="29"/>
        <v>0</v>
      </c>
      <c r="AM17" s="321">
        <f t="shared" si="40"/>
        <v>0</v>
      </c>
      <c r="AN17" s="322">
        <f t="shared" si="41"/>
        <v>0</v>
      </c>
      <c r="AO17" s="321">
        <f t="shared" si="42"/>
        <v>0</v>
      </c>
      <c r="AP17" s="321">
        <f t="shared" si="31"/>
        <v>-14328.738467945135</v>
      </c>
      <c r="AQ17" s="321">
        <f t="shared" si="32"/>
        <v>-21493.107701917703</v>
      </c>
      <c r="AR17" s="321">
        <f t="shared" si="33"/>
        <v>-25075.29231890399</v>
      </c>
      <c r="AS17" s="321">
        <f t="shared" si="34"/>
        <v>-21493.107701917703</v>
      </c>
      <c r="AT17" s="321"/>
      <c r="AV17" s="320" t="s">
        <v>309</v>
      </c>
      <c r="AW17" s="330">
        <v>2.5287479772001999E-2</v>
      </c>
      <c r="AX17" s="331">
        <v>0</v>
      </c>
      <c r="AY17" s="331">
        <v>0</v>
      </c>
      <c r="AZ17" s="331">
        <v>0.08</v>
      </c>
      <c r="BA17" s="331">
        <v>0.12</v>
      </c>
      <c r="BB17" s="331">
        <v>0.14000000000000001</v>
      </c>
      <c r="BC17" s="331">
        <v>0.12</v>
      </c>
      <c r="BD17" s="331">
        <v>0.12</v>
      </c>
      <c r="BE17" s="331">
        <v>0.12</v>
      </c>
      <c r="BF17" s="331">
        <v>0.18</v>
      </c>
      <c r="BG17" s="331">
        <v>0.12</v>
      </c>
      <c r="BH17" s="331">
        <v>0</v>
      </c>
      <c r="BI17" s="331">
        <v>0</v>
      </c>
      <c r="BJ17" s="331">
        <f t="shared" ref="BJ17:BJ20" si="43">+SUM(AX17:BI17)</f>
        <v>1</v>
      </c>
    </row>
    <row r="18" spans="2:62" x14ac:dyDescent="0.2">
      <c r="B18" s="320" t="s">
        <v>310</v>
      </c>
      <c r="D18" s="321">
        <f>+'Rent roll and financial info'!$Q$24*'Cash flow NOI'!$AW18*'Cash flow NOI'!AX18</f>
        <v>-15555.341275460452</v>
      </c>
      <c r="E18" s="321">
        <f>+'Rent roll and financial info'!$Q$24*'Cash flow NOI'!$AW18*'Cash flow NOI'!AY18</f>
        <v>-15555.341275460452</v>
      </c>
      <c r="F18" s="321">
        <f>+'Rent roll and financial info'!$Q$24*'Cash flow NOI'!$AW18*'Cash flow NOI'!AZ18</f>
        <v>-7777.6706377302262</v>
      </c>
      <c r="G18" s="321">
        <f>+'Rent roll and financial info'!$Q$24*'Cash flow NOI'!$AW18*'Cash flow NOI'!BA18</f>
        <v>0</v>
      </c>
      <c r="H18" s="321">
        <f>+'Rent roll and financial info'!$Q$24*'Cash flow NOI'!$AW18*'Cash flow NOI'!BB18</f>
        <v>0</v>
      </c>
      <c r="I18" s="321">
        <f>+'Rent roll and financial info'!$Q$24*'Cash flow NOI'!$AW18*'Cash flow NOI'!BC18</f>
        <v>0</v>
      </c>
      <c r="J18" s="321">
        <f>+'Rent roll and financial info'!$Q$24*'Cash flow NOI'!$AW18*'Cash flow NOI'!BD18</f>
        <v>0</v>
      </c>
      <c r="K18" s="321">
        <f>+'Rent roll and financial info'!$Q$24*'Cash flow NOI'!$AW18*'Cash flow NOI'!BE18</f>
        <v>0</v>
      </c>
      <c r="L18" s="321">
        <f>+'Rent roll and financial info'!$Q$24*'Cash flow NOI'!$AW18*'Cash flow NOI'!BF18</f>
        <v>0</v>
      </c>
      <c r="M18" s="321">
        <f>+'Rent roll and financial info'!$Q$24*'Cash flow NOI'!$AW18*'Cash flow NOI'!BG18</f>
        <v>-2393.1294269939158</v>
      </c>
      <c r="N18" s="321">
        <f>+'Rent roll and financial info'!$Q$24*'Cash flow NOI'!$AW18*'Cash flow NOI'!BH18</f>
        <v>-7179.3882809817469</v>
      </c>
      <c r="O18" s="321">
        <f>+'Rent roll and financial info'!$Q$24*'Cash flow NOI'!$AW18*'Cash flow NOI'!BI18</f>
        <v>-11367.364778221099</v>
      </c>
      <c r="P18" s="322">
        <f t="shared" si="35"/>
        <v>-15866.448100969661</v>
      </c>
      <c r="Q18" s="321">
        <f t="shared" si="36"/>
        <v>-15866.448100969661</v>
      </c>
      <c r="R18" s="321">
        <f t="shared" si="20"/>
        <v>-7933.2240504848305</v>
      </c>
      <c r="S18" s="321">
        <f t="shared" si="20"/>
        <v>0</v>
      </c>
      <c r="T18" s="321">
        <f t="shared" si="20"/>
        <v>0</v>
      </c>
      <c r="U18" s="321">
        <f t="shared" si="20"/>
        <v>0</v>
      </c>
      <c r="V18" s="321">
        <f t="shared" si="20"/>
        <v>0</v>
      </c>
      <c r="W18" s="321">
        <f t="shared" si="20"/>
        <v>0</v>
      </c>
      <c r="X18" s="321">
        <f t="shared" si="20"/>
        <v>0</v>
      </c>
      <c r="Y18" s="321">
        <f t="shared" si="20"/>
        <v>-2440.9920155337941</v>
      </c>
      <c r="Z18" s="321">
        <f t="shared" si="20"/>
        <v>-7322.9760466013822</v>
      </c>
      <c r="AA18" s="321">
        <f t="shared" si="37"/>
        <v>-11594.712073785522</v>
      </c>
      <c r="AB18" s="322">
        <f t="shared" si="38"/>
        <v>-16183.777062989055</v>
      </c>
      <c r="AC18" s="321">
        <f t="shared" si="39"/>
        <v>-16183.777062989055</v>
      </c>
      <c r="AD18" s="321">
        <f t="shared" si="21"/>
        <v>-8091.8885314945273</v>
      </c>
      <c r="AE18" s="321">
        <f t="shared" si="22"/>
        <v>0</v>
      </c>
      <c r="AF18" s="321">
        <f t="shared" si="23"/>
        <v>0</v>
      </c>
      <c r="AG18" s="321">
        <f t="shared" si="24"/>
        <v>0</v>
      </c>
      <c r="AH18" s="321">
        <f t="shared" si="25"/>
        <v>0</v>
      </c>
      <c r="AI18" s="321">
        <f t="shared" si="26"/>
        <v>0</v>
      </c>
      <c r="AJ18" s="321">
        <f t="shared" si="27"/>
        <v>0</v>
      </c>
      <c r="AK18" s="321">
        <f t="shared" si="28"/>
        <v>-2489.8118558444698</v>
      </c>
      <c r="AL18" s="321">
        <f t="shared" si="29"/>
        <v>-7469.43556753341</v>
      </c>
      <c r="AM18" s="321">
        <f t="shared" si="40"/>
        <v>-11826.606315261233</v>
      </c>
      <c r="AN18" s="322">
        <f t="shared" si="41"/>
        <v>-16507.452604248836</v>
      </c>
      <c r="AO18" s="321">
        <f t="shared" si="42"/>
        <v>-16507.452604248836</v>
      </c>
      <c r="AP18" s="321">
        <f t="shared" si="31"/>
        <v>-8253.726302124418</v>
      </c>
      <c r="AQ18" s="321">
        <f t="shared" si="32"/>
        <v>0</v>
      </c>
      <c r="AR18" s="321">
        <f t="shared" si="33"/>
        <v>0</v>
      </c>
      <c r="AS18" s="321">
        <f t="shared" si="34"/>
        <v>0</v>
      </c>
      <c r="AT18" s="321"/>
      <c r="AV18" s="320" t="s">
        <v>310</v>
      </c>
      <c r="AW18" s="330">
        <v>8.9638440150527354E-3</v>
      </c>
      <c r="AX18" s="331">
        <v>0.26</v>
      </c>
      <c r="AY18" s="331">
        <v>0.26</v>
      </c>
      <c r="AZ18" s="331">
        <v>0.13</v>
      </c>
      <c r="BA18" s="331">
        <v>0</v>
      </c>
      <c r="BB18" s="331">
        <v>0</v>
      </c>
      <c r="BC18" s="331">
        <v>0</v>
      </c>
      <c r="BD18" s="331">
        <v>0</v>
      </c>
      <c r="BE18" s="331">
        <v>0</v>
      </c>
      <c r="BF18" s="331">
        <v>0</v>
      </c>
      <c r="BG18" s="331">
        <v>0.04</v>
      </c>
      <c r="BH18" s="331">
        <v>0.12</v>
      </c>
      <c r="BI18" s="331">
        <v>0.19</v>
      </c>
      <c r="BJ18" s="331">
        <f>+SUM(AX18:BI18)</f>
        <v>1</v>
      </c>
    </row>
    <row r="19" spans="2:62" x14ac:dyDescent="0.2">
      <c r="B19" s="320" t="s">
        <v>311</v>
      </c>
      <c r="D19" s="321">
        <f>+'Rent roll and financial info'!$Q$24*'Cash flow NOI'!$AW19*'Cash flow NOI'!AX19</f>
        <v>-17738.027257604426</v>
      </c>
      <c r="E19" s="321">
        <f>+'Rent roll and financial info'!$Q$24*'Cash flow NOI'!$AW19*'Cash flow NOI'!AY19</f>
        <v>-17738.027257604426</v>
      </c>
      <c r="F19" s="321">
        <f>+'Rent roll and financial info'!$Q$24*'Cash flow NOI'!$AW19*'Cash flow NOI'!AZ19</f>
        <v>-17738.027257604426</v>
      </c>
      <c r="G19" s="321">
        <f>+'Rent roll and financial info'!$Q$24*'Cash flow NOI'!$AW19*'Cash flow NOI'!BA19</f>
        <v>-17738.027257604426</v>
      </c>
      <c r="H19" s="321">
        <f>+'Rent roll and financial info'!$Q$24*'Cash flow NOI'!$AW19*'Cash flow NOI'!BB19</f>
        <v>-17738.027257604426</v>
      </c>
      <c r="I19" s="321">
        <f>+'Rent roll and financial info'!$Q$24*'Cash flow NOI'!$AW19*'Cash flow NOI'!BC19</f>
        <v>-17738.027257604426</v>
      </c>
      <c r="J19" s="321">
        <f>+'Rent roll and financial info'!$Q$24*'Cash flow NOI'!$AW19*'Cash flow NOI'!BD19</f>
        <v>-17738.027257604426</v>
      </c>
      <c r="K19" s="321">
        <f>+'Rent roll and financial info'!$Q$24*'Cash flow NOI'!$AW19*'Cash flow NOI'!BE19</f>
        <v>-17738.027257604426</v>
      </c>
      <c r="L19" s="321">
        <f>+'Rent roll and financial info'!$Q$24*'Cash flow NOI'!$AW19*'Cash flow NOI'!BF19</f>
        <v>-17738.027257604426</v>
      </c>
      <c r="M19" s="321">
        <f>+'Rent roll and financial info'!$Q$24*'Cash flow NOI'!$AW19*'Cash flow NOI'!BG19</f>
        <v>-17738.027257604426</v>
      </c>
      <c r="N19" s="321">
        <f>+'Rent roll and financial info'!$Q$24*'Cash flow NOI'!$AW19*'Cash flow NOI'!BH19</f>
        <v>-17738.027257604426</v>
      </c>
      <c r="O19" s="321">
        <f>+'Rent roll and financial info'!$Q$24*'Cash flow NOI'!$AW19*'Cash flow NOI'!BI19</f>
        <v>-17738.027257604426</v>
      </c>
      <c r="P19" s="322">
        <f t="shared" si="35"/>
        <v>-18092.787802756517</v>
      </c>
      <c r="Q19" s="321">
        <f t="shared" si="36"/>
        <v>-18092.787802756517</v>
      </c>
      <c r="R19" s="321">
        <f t="shared" si="20"/>
        <v>-18092.787802756517</v>
      </c>
      <c r="S19" s="321">
        <f t="shared" si="20"/>
        <v>-18092.787802756517</v>
      </c>
      <c r="T19" s="321">
        <f t="shared" si="20"/>
        <v>-18092.787802756517</v>
      </c>
      <c r="U19" s="321">
        <f t="shared" si="20"/>
        <v>-18092.787802756517</v>
      </c>
      <c r="V19" s="321">
        <f t="shared" si="20"/>
        <v>-18092.787802756517</v>
      </c>
      <c r="W19" s="321">
        <f t="shared" si="20"/>
        <v>-18092.787802756517</v>
      </c>
      <c r="X19" s="321">
        <f t="shared" si="20"/>
        <v>-18092.787802756517</v>
      </c>
      <c r="Y19" s="321">
        <f t="shared" si="20"/>
        <v>-18092.787802756517</v>
      </c>
      <c r="Z19" s="321">
        <f t="shared" si="20"/>
        <v>-18092.787802756517</v>
      </c>
      <c r="AA19" s="321">
        <f t="shared" si="20"/>
        <v>-18092.787802756517</v>
      </c>
      <c r="AB19" s="322">
        <f t="shared" si="38"/>
        <v>-18454.643558811647</v>
      </c>
      <c r="AC19" s="321">
        <f t="shared" si="39"/>
        <v>-18454.643558811647</v>
      </c>
      <c r="AD19" s="321">
        <f t="shared" si="21"/>
        <v>-18454.643558811647</v>
      </c>
      <c r="AE19" s="321">
        <f t="shared" si="22"/>
        <v>-18454.643558811647</v>
      </c>
      <c r="AF19" s="321">
        <f t="shared" si="23"/>
        <v>-18454.643558811647</v>
      </c>
      <c r="AG19" s="321">
        <f t="shared" si="24"/>
        <v>-18454.643558811647</v>
      </c>
      <c r="AH19" s="321">
        <f t="shared" si="25"/>
        <v>-18454.643558811647</v>
      </c>
      <c r="AI19" s="321">
        <f t="shared" si="26"/>
        <v>-18454.643558811647</v>
      </c>
      <c r="AJ19" s="321">
        <f t="shared" si="27"/>
        <v>-18454.643558811647</v>
      </c>
      <c r="AK19" s="321">
        <f t="shared" si="28"/>
        <v>-18454.643558811647</v>
      </c>
      <c r="AL19" s="321">
        <f t="shared" si="29"/>
        <v>-18454.643558811647</v>
      </c>
      <c r="AM19" s="321">
        <f t="shared" ref="AM19" si="44">+AA19*1.02</f>
        <v>-18454.643558811647</v>
      </c>
      <c r="AN19" s="322">
        <f t="shared" si="41"/>
        <v>-18823.736429987879</v>
      </c>
      <c r="AO19" s="321">
        <f t="shared" si="42"/>
        <v>-18823.736429987879</v>
      </c>
      <c r="AP19" s="321">
        <f t="shared" si="31"/>
        <v>-18823.736429987879</v>
      </c>
      <c r="AQ19" s="321">
        <f t="shared" si="32"/>
        <v>-18823.736429987879</v>
      </c>
      <c r="AR19" s="321">
        <f t="shared" si="33"/>
        <v>-18823.736429987879</v>
      </c>
      <c r="AS19" s="321">
        <f t="shared" si="34"/>
        <v>-18823.736429987879</v>
      </c>
      <c r="AT19" s="321"/>
      <c r="AV19" s="320" t="s">
        <v>311</v>
      </c>
      <c r="AW19" s="330">
        <v>3.1891478866811623E-2</v>
      </c>
      <c r="AX19" s="329">
        <f>1/12</f>
        <v>8.3333333333333329E-2</v>
      </c>
      <c r="AY19" s="329">
        <f t="shared" ref="AY19:BI20" si="45">1/12</f>
        <v>8.3333333333333329E-2</v>
      </c>
      <c r="AZ19" s="329">
        <f t="shared" si="45"/>
        <v>8.3333333333333329E-2</v>
      </c>
      <c r="BA19" s="329">
        <f t="shared" si="45"/>
        <v>8.3333333333333329E-2</v>
      </c>
      <c r="BB19" s="329">
        <f t="shared" si="45"/>
        <v>8.3333333333333329E-2</v>
      </c>
      <c r="BC19" s="329">
        <f t="shared" si="45"/>
        <v>8.3333333333333329E-2</v>
      </c>
      <c r="BD19" s="329">
        <f t="shared" si="45"/>
        <v>8.3333333333333329E-2</v>
      </c>
      <c r="BE19" s="329">
        <f t="shared" si="45"/>
        <v>8.3333333333333329E-2</v>
      </c>
      <c r="BF19" s="329">
        <f t="shared" si="45"/>
        <v>8.3333333333333329E-2</v>
      </c>
      <c r="BG19" s="329">
        <f t="shared" si="45"/>
        <v>8.3333333333333329E-2</v>
      </c>
      <c r="BH19" s="329">
        <f t="shared" si="45"/>
        <v>8.3333333333333329E-2</v>
      </c>
      <c r="BI19" s="329">
        <f t="shared" si="45"/>
        <v>8.3333333333333329E-2</v>
      </c>
      <c r="BJ19" s="331">
        <f>+SUM(AX19:BI19)</f>
        <v>1</v>
      </c>
    </row>
    <row r="20" spans="2:62" x14ac:dyDescent="0.2">
      <c r="B20" s="320" t="s">
        <v>312</v>
      </c>
      <c r="D20" s="321">
        <f>+'Rent roll and financial info'!$Q$24*'Cash flow NOI'!$AW20*'Cash flow NOI'!AX20</f>
        <v>-17572.407506783897</v>
      </c>
      <c r="E20" s="321">
        <f>+'Rent roll and financial info'!$Q$24*'Cash flow NOI'!$AW20*'Cash flow NOI'!AY20</f>
        <v>-17572.407506783897</v>
      </c>
      <c r="F20" s="321">
        <f>+'Rent roll and financial info'!$Q$24*'Cash flow NOI'!$AW20*'Cash flow NOI'!AZ20</f>
        <v>-17572.407506783897</v>
      </c>
      <c r="G20" s="321">
        <f>+'Rent roll and financial info'!$Q$24*'Cash flow NOI'!$AW20*'Cash flow NOI'!BA20</f>
        <v>-17572.407506783897</v>
      </c>
      <c r="H20" s="321">
        <f>+'Rent roll and financial info'!$Q$24*'Cash flow NOI'!$AW20*'Cash flow NOI'!BB20</f>
        <v>-17572.407506783897</v>
      </c>
      <c r="I20" s="321">
        <f>+'Rent roll and financial info'!$Q$24*'Cash flow NOI'!$AW20*'Cash flow NOI'!BC20</f>
        <v>-17572.407506783897</v>
      </c>
      <c r="J20" s="321">
        <f>+'Rent roll and financial info'!$Q$24*'Cash flow NOI'!$AW20*'Cash flow NOI'!BD20</f>
        <v>-17572.407506783897</v>
      </c>
      <c r="K20" s="321">
        <f>+'Rent roll and financial info'!$Q$24*'Cash flow NOI'!$AW20*'Cash flow NOI'!BE20</f>
        <v>-17572.407506783897</v>
      </c>
      <c r="L20" s="321">
        <f>+'Rent roll and financial info'!$Q$24*'Cash flow NOI'!$AW20*'Cash flow NOI'!BF20</f>
        <v>-17572.407506783897</v>
      </c>
      <c r="M20" s="321">
        <f>+'Rent roll and financial info'!$Q$24*'Cash flow NOI'!$AW20*'Cash flow NOI'!BG20</f>
        <v>-17572.407506783897</v>
      </c>
      <c r="N20" s="321">
        <f>+'Rent roll and financial info'!$Q$24*'Cash flow NOI'!$AW20*'Cash flow NOI'!BH20</f>
        <v>-17572.407506783897</v>
      </c>
      <c r="O20" s="321">
        <f>+'Rent roll and financial info'!$Q$24*'Cash flow NOI'!$AW20*'Cash flow NOI'!BI20</f>
        <v>-17572.407506783897</v>
      </c>
      <c r="P20" s="322">
        <f t="shared" si="35"/>
        <v>-17923.855656919575</v>
      </c>
      <c r="Q20" s="321">
        <f t="shared" si="36"/>
        <v>-17923.855656919575</v>
      </c>
      <c r="R20" s="321">
        <f t="shared" si="20"/>
        <v>-17923.855656919575</v>
      </c>
      <c r="S20" s="321">
        <f t="shared" si="20"/>
        <v>-17923.855656919575</v>
      </c>
      <c r="T20" s="321">
        <f t="shared" si="20"/>
        <v>-17923.855656919575</v>
      </c>
      <c r="U20" s="321">
        <f t="shared" si="20"/>
        <v>-17923.855656919575</v>
      </c>
      <c r="V20" s="321">
        <f t="shared" si="20"/>
        <v>-17923.855656919575</v>
      </c>
      <c r="W20" s="321">
        <f t="shared" si="20"/>
        <v>-17923.855656919575</v>
      </c>
      <c r="X20" s="321">
        <f t="shared" si="20"/>
        <v>-17923.855656919575</v>
      </c>
      <c r="Y20" s="321">
        <f t="shared" si="20"/>
        <v>-17923.855656919575</v>
      </c>
      <c r="Z20" s="321">
        <f t="shared" si="20"/>
        <v>-17923.855656919575</v>
      </c>
      <c r="AA20" s="321">
        <f>+O20*1.02</f>
        <v>-17923.855656919575</v>
      </c>
      <c r="AB20" s="322">
        <f t="shared" si="38"/>
        <v>-18282.332770057968</v>
      </c>
      <c r="AC20" s="321">
        <f t="shared" si="39"/>
        <v>-18282.332770057968</v>
      </c>
      <c r="AD20" s="321">
        <f t="shared" si="21"/>
        <v>-18282.332770057968</v>
      </c>
      <c r="AE20" s="321">
        <f t="shared" si="22"/>
        <v>-18282.332770057968</v>
      </c>
      <c r="AF20" s="321">
        <f t="shared" si="23"/>
        <v>-18282.332770057968</v>
      </c>
      <c r="AG20" s="321">
        <f t="shared" si="24"/>
        <v>-18282.332770057968</v>
      </c>
      <c r="AH20" s="321">
        <f t="shared" si="25"/>
        <v>-18282.332770057968</v>
      </c>
      <c r="AI20" s="321">
        <f t="shared" si="26"/>
        <v>-18282.332770057968</v>
      </c>
      <c r="AJ20" s="321">
        <f t="shared" si="27"/>
        <v>-18282.332770057968</v>
      </c>
      <c r="AK20" s="321">
        <f t="shared" si="28"/>
        <v>-18282.332770057968</v>
      </c>
      <c r="AL20" s="321">
        <f t="shared" si="29"/>
        <v>-18282.332770057968</v>
      </c>
      <c r="AM20" s="321">
        <f>+AA20*1.02</f>
        <v>-18282.332770057968</v>
      </c>
      <c r="AN20" s="322">
        <f t="shared" si="41"/>
        <v>-18647.979425459129</v>
      </c>
      <c r="AO20" s="321">
        <f t="shared" si="42"/>
        <v>-18647.979425459129</v>
      </c>
      <c r="AP20" s="321">
        <f t="shared" si="31"/>
        <v>-18647.979425459129</v>
      </c>
      <c r="AQ20" s="321">
        <f t="shared" si="32"/>
        <v>-18647.979425459129</v>
      </c>
      <c r="AR20" s="321">
        <f t="shared" si="33"/>
        <v>-18647.979425459129</v>
      </c>
      <c r="AS20" s="321">
        <f t="shared" si="34"/>
        <v>-18647.979425459129</v>
      </c>
      <c r="AT20" s="321"/>
      <c r="AV20" s="320" t="s">
        <v>312</v>
      </c>
      <c r="AW20" s="330">
        <v>3.1593708505625873E-2</v>
      </c>
      <c r="AX20" s="329">
        <f>1/12</f>
        <v>8.3333333333333329E-2</v>
      </c>
      <c r="AY20" s="329">
        <f t="shared" si="45"/>
        <v>8.3333333333333329E-2</v>
      </c>
      <c r="AZ20" s="329">
        <f t="shared" si="45"/>
        <v>8.3333333333333329E-2</v>
      </c>
      <c r="BA20" s="329">
        <f t="shared" si="45"/>
        <v>8.3333333333333329E-2</v>
      </c>
      <c r="BB20" s="329">
        <f t="shared" si="45"/>
        <v>8.3333333333333329E-2</v>
      </c>
      <c r="BC20" s="329">
        <f t="shared" si="45"/>
        <v>8.3333333333333329E-2</v>
      </c>
      <c r="BD20" s="329">
        <f t="shared" si="45"/>
        <v>8.3333333333333329E-2</v>
      </c>
      <c r="BE20" s="329">
        <f t="shared" si="45"/>
        <v>8.3333333333333329E-2</v>
      </c>
      <c r="BF20" s="329">
        <f t="shared" si="45"/>
        <v>8.3333333333333329E-2</v>
      </c>
      <c r="BG20" s="329">
        <f t="shared" si="45"/>
        <v>8.3333333333333329E-2</v>
      </c>
      <c r="BH20" s="329">
        <f t="shared" si="45"/>
        <v>8.3333333333333329E-2</v>
      </c>
      <c r="BI20" s="329">
        <f t="shared" si="45"/>
        <v>8.3333333333333329E-2</v>
      </c>
      <c r="BJ20" s="331">
        <f t="shared" si="43"/>
        <v>1</v>
      </c>
    </row>
    <row r="21" spans="2:62" x14ac:dyDescent="0.2">
      <c r="B21" s="320" t="s">
        <v>313</v>
      </c>
      <c r="D21" s="321">
        <f>+'Rent roll and financial info'!$Q$24*'Cash flow NOI'!$AW21*'Cash flow NOI'!AX21</f>
        <v>-23073.309295727595</v>
      </c>
      <c r="E21" s="321">
        <f>+'Rent roll and financial info'!$Q$24*'Cash flow NOI'!$AW21*'Cash flow NOI'!AY21</f>
        <v>-20765.978366154835</v>
      </c>
      <c r="F21" s="321">
        <f>+'Rent roll and financial info'!$Q$24*'Cash flow NOI'!$AW21*'Cash flow NOI'!AZ21</f>
        <v>-23073.309295727595</v>
      </c>
      <c r="G21" s="321">
        <f>+'Rent roll and financial info'!$Q$24*'Cash flow NOI'!$AW21*'Cash flow NOI'!BA21</f>
        <v>-23073.309295727595</v>
      </c>
      <c r="H21" s="321">
        <f>+'Rent roll and financial info'!$Q$24*'Cash flow NOI'!$AW21*'Cash flow NOI'!BB21</f>
        <v>-20765.978366154835</v>
      </c>
      <c r="I21" s="321">
        <f>+'Rent roll and financial info'!$Q$24*'Cash flow NOI'!$AW21*'Cash flow NOI'!BC21</f>
        <v>-23073.309295727595</v>
      </c>
      <c r="J21" s="321">
        <f>+'Rent roll and financial info'!$Q$24*'Cash flow NOI'!$AW21*'Cash flow NOI'!BD21</f>
        <v>-4614.661859145519</v>
      </c>
      <c r="K21" s="321">
        <f>+'Rent roll and financial info'!$Q$24*'Cash flow NOI'!$AW21*'Cash flow NOI'!BE21</f>
        <v>-9229.3237182910379</v>
      </c>
      <c r="L21" s="321">
        <f>+'Rent roll and financial info'!$Q$24*'Cash flow NOI'!$AW21*'Cash flow NOI'!BF21</f>
        <v>-20765.978366154835</v>
      </c>
      <c r="M21" s="321">
        <f>+'Rent roll and financial info'!$Q$24*'Cash flow NOI'!$AW21*'Cash flow NOI'!BG21</f>
        <v>-20765.978366154835</v>
      </c>
      <c r="N21" s="321">
        <f>+'Rent roll and financial info'!$Q$24*'Cash flow NOI'!$AW21*'Cash flow NOI'!BH21</f>
        <v>-20765.978366154835</v>
      </c>
      <c r="O21" s="321">
        <f>+'Rent roll and financial info'!$Q$24*'Cash flow NOI'!$AW21*'Cash flow NOI'!BI21</f>
        <v>-20765.978366154835</v>
      </c>
      <c r="P21" s="322">
        <f t="shared" si="35"/>
        <v>-23534.775481642147</v>
      </c>
      <c r="Q21" s="321">
        <f t="shared" si="36"/>
        <v>-21181.297933477934</v>
      </c>
      <c r="R21" s="321">
        <f t="shared" si="20"/>
        <v>-23534.775481642147</v>
      </c>
      <c r="S21" s="321">
        <f t="shared" si="20"/>
        <v>-23534.775481642147</v>
      </c>
      <c r="T21" s="321">
        <f t="shared" si="20"/>
        <v>-21181.297933477934</v>
      </c>
      <c r="U21" s="321">
        <f t="shared" si="20"/>
        <v>-23534.775481642147</v>
      </c>
      <c r="V21" s="321">
        <f t="shared" si="20"/>
        <v>-4706.9550963284291</v>
      </c>
      <c r="W21" s="321">
        <f t="shared" si="20"/>
        <v>-9413.9101926568583</v>
      </c>
      <c r="X21" s="321">
        <f t="shared" si="20"/>
        <v>-21181.297933477934</v>
      </c>
      <c r="Y21" s="321">
        <f t="shared" si="20"/>
        <v>-21181.297933477934</v>
      </c>
      <c r="Z21" s="321">
        <f t="shared" si="20"/>
        <v>-21181.297933477934</v>
      </c>
      <c r="AA21" s="321">
        <f>+O21*1.02</f>
        <v>-21181.297933477934</v>
      </c>
      <c r="AB21" s="322">
        <f t="shared" si="38"/>
        <v>-24005.47099127499</v>
      </c>
      <c r="AC21" s="321">
        <f t="shared" si="39"/>
        <v>-21604.923892147493</v>
      </c>
      <c r="AD21" s="321">
        <f t="shared" si="21"/>
        <v>-24005.47099127499</v>
      </c>
      <c r="AE21" s="321">
        <f t="shared" si="22"/>
        <v>-24005.47099127499</v>
      </c>
      <c r="AF21" s="321">
        <f t="shared" si="23"/>
        <v>-21604.923892147493</v>
      </c>
      <c r="AG21" s="321">
        <f t="shared" si="24"/>
        <v>-24005.47099127499</v>
      </c>
      <c r="AH21" s="321">
        <f t="shared" si="25"/>
        <v>-4801.0941982549975</v>
      </c>
      <c r="AI21" s="321">
        <f t="shared" si="26"/>
        <v>-9602.1883965099951</v>
      </c>
      <c r="AJ21" s="321">
        <f t="shared" si="27"/>
        <v>-21604.923892147493</v>
      </c>
      <c r="AK21" s="321">
        <f t="shared" si="28"/>
        <v>-21604.923892147493</v>
      </c>
      <c r="AL21" s="321">
        <f t="shared" si="29"/>
        <v>-21604.923892147493</v>
      </c>
      <c r="AM21" s="321">
        <f>+AA21*1.02</f>
        <v>-21604.923892147493</v>
      </c>
      <c r="AN21" s="322">
        <f t="shared" si="41"/>
        <v>-24485.580411100491</v>
      </c>
      <c r="AO21" s="321">
        <f t="shared" si="42"/>
        <v>-22037.022369990445</v>
      </c>
      <c r="AP21" s="321">
        <f t="shared" si="31"/>
        <v>-24485.580411100491</v>
      </c>
      <c r="AQ21" s="321">
        <f t="shared" si="32"/>
        <v>-24485.580411100491</v>
      </c>
      <c r="AR21" s="321">
        <f t="shared" si="33"/>
        <v>-22037.022369990445</v>
      </c>
      <c r="AS21" s="321">
        <f t="shared" si="34"/>
        <v>-24485.580411100491</v>
      </c>
      <c r="AT21" s="321"/>
      <c r="AV21" s="320" t="s">
        <v>313</v>
      </c>
      <c r="AW21" s="330">
        <v>3.4569888799999997E-2</v>
      </c>
      <c r="AX21" s="331">
        <v>0.1</v>
      </c>
      <c r="AY21" s="331">
        <v>0.09</v>
      </c>
      <c r="AZ21" s="331">
        <v>0.1</v>
      </c>
      <c r="BA21" s="331">
        <v>0.1</v>
      </c>
      <c r="BB21" s="331">
        <v>0.09</v>
      </c>
      <c r="BC21" s="331">
        <v>0.1</v>
      </c>
      <c r="BD21" s="331">
        <v>0.02</v>
      </c>
      <c r="BE21" s="331">
        <v>0.04</v>
      </c>
      <c r="BF21" s="331">
        <v>0.09</v>
      </c>
      <c r="BG21" s="331">
        <v>0.09</v>
      </c>
      <c r="BH21" s="331">
        <v>0.09</v>
      </c>
      <c r="BI21" s="331">
        <v>0.09</v>
      </c>
      <c r="BJ21" s="331">
        <f>+SUM(AX21:BI21)</f>
        <v>0.99999999999999989</v>
      </c>
    </row>
    <row r="22" spans="2:62" x14ac:dyDescent="0.2">
      <c r="B22" s="320" t="s">
        <v>314</v>
      </c>
      <c r="D22" s="321">
        <f>+'Rent roll and financial info'!$Q$24*'Cash flow NOI'!$AW22*'Cash flow NOI'!AX22</f>
        <v>-120505.63106925478</v>
      </c>
      <c r="E22" s="321">
        <f>+'Rent roll and financial info'!$Q$24*'Cash flow NOI'!$AW22*'Cash flow NOI'!AY22</f>
        <v>-108455.0679623293</v>
      </c>
      <c r="F22" s="321">
        <f>+'Rent roll and financial info'!$Q$24*'Cash flow NOI'!$AW22*'Cash flow NOI'!AZ22</f>
        <v>-120505.63106925478</v>
      </c>
      <c r="G22" s="321">
        <f>+'Rent roll and financial info'!$Q$24*'Cash flow NOI'!$AW22*'Cash flow NOI'!BA22</f>
        <v>-120505.63106925478</v>
      </c>
      <c r="H22" s="321">
        <f>+'Rent roll and financial info'!$Q$24*'Cash flow NOI'!$AW22*'Cash flow NOI'!BB22</f>
        <v>-108455.0679623293</v>
      </c>
      <c r="I22" s="321">
        <f>+'Rent roll and financial info'!$Q$24*'Cash flow NOI'!$AW22*'Cash flow NOI'!BC22</f>
        <v>-120505.63106925478</v>
      </c>
      <c r="J22" s="321">
        <f>+'Rent roll and financial info'!$Q$24*'Cash flow NOI'!$AW22*'Cash flow NOI'!BD22</f>
        <v>-24101.126213850956</v>
      </c>
      <c r="K22" s="321">
        <f>+'Rent roll and financial info'!$Q$24*'Cash flow NOI'!$AW22*'Cash flow NOI'!BE22</f>
        <v>-48202.252427701911</v>
      </c>
      <c r="L22" s="321">
        <f>+'Rent roll and financial info'!$Q$24*'Cash flow NOI'!$AW22*'Cash flow NOI'!BF22</f>
        <v>-108455.0679623293</v>
      </c>
      <c r="M22" s="321">
        <f>+'Rent roll and financial info'!$Q$24*'Cash flow NOI'!$AW22*'Cash flow NOI'!BG22</f>
        <v>-108455.0679623293</v>
      </c>
      <c r="N22" s="321">
        <f>+'Rent roll and financial info'!$Q$24*'Cash flow NOI'!$AW22*'Cash flow NOI'!BH22</f>
        <v>-108455.0679623293</v>
      </c>
      <c r="O22" s="321">
        <f>+'Rent roll and financial info'!$Q$24*'Cash flow NOI'!$AW22*'Cash flow NOI'!BI22</f>
        <v>-108455.0679623293</v>
      </c>
      <c r="P22" s="322">
        <f t="shared" si="35"/>
        <v>-122915.74369063988</v>
      </c>
      <c r="Q22" s="321">
        <f t="shared" si="36"/>
        <v>-110624.16932157589</v>
      </c>
      <c r="R22" s="321">
        <f t="shared" si="20"/>
        <v>-122915.74369063988</v>
      </c>
      <c r="S22" s="321">
        <f t="shared" si="20"/>
        <v>-122915.74369063988</v>
      </c>
      <c r="T22" s="321">
        <f t="shared" si="20"/>
        <v>-110624.16932157589</v>
      </c>
      <c r="U22" s="321">
        <f t="shared" si="20"/>
        <v>-122915.74369063988</v>
      </c>
      <c r="V22" s="321">
        <f t="shared" si="20"/>
        <v>-24583.148738127977</v>
      </c>
      <c r="W22" s="321">
        <f t="shared" si="20"/>
        <v>-49166.297476255953</v>
      </c>
      <c r="X22" s="321">
        <f t="shared" si="20"/>
        <v>-110624.16932157589</v>
      </c>
      <c r="Y22" s="321">
        <f t="shared" si="20"/>
        <v>-110624.16932157589</v>
      </c>
      <c r="Z22" s="321">
        <f t="shared" si="20"/>
        <v>-110624.16932157589</v>
      </c>
      <c r="AA22" s="321">
        <f>+O22*1.02</f>
        <v>-110624.16932157589</v>
      </c>
      <c r="AB22" s="322">
        <f t="shared" si="38"/>
        <v>-125374.05856445267</v>
      </c>
      <c r="AC22" s="321">
        <f t="shared" si="39"/>
        <v>-112836.6527080074</v>
      </c>
      <c r="AD22" s="321">
        <f t="shared" si="21"/>
        <v>-125374.05856445267</v>
      </c>
      <c r="AE22" s="321">
        <f t="shared" si="22"/>
        <v>-125374.05856445267</v>
      </c>
      <c r="AF22" s="321">
        <f t="shared" si="23"/>
        <v>-112836.6527080074</v>
      </c>
      <c r="AG22" s="321">
        <f t="shared" si="24"/>
        <v>-125374.05856445267</v>
      </c>
      <c r="AH22" s="321">
        <f t="shared" si="25"/>
        <v>-25074.811712890536</v>
      </c>
      <c r="AI22" s="321">
        <f t="shared" si="26"/>
        <v>-50149.623425781072</v>
      </c>
      <c r="AJ22" s="321">
        <f t="shared" si="27"/>
        <v>-112836.6527080074</v>
      </c>
      <c r="AK22" s="321">
        <f t="shared" si="28"/>
        <v>-112836.6527080074</v>
      </c>
      <c r="AL22" s="321">
        <f t="shared" si="29"/>
        <v>-112836.6527080074</v>
      </c>
      <c r="AM22" s="321">
        <f>+AA22*1.02</f>
        <v>-112836.6527080074</v>
      </c>
      <c r="AN22" s="322">
        <f t="shared" si="41"/>
        <v>-127881.53973574172</v>
      </c>
      <c r="AO22" s="321">
        <f t="shared" si="42"/>
        <v>-115093.38576216756</v>
      </c>
      <c r="AP22" s="321">
        <f t="shared" si="31"/>
        <v>-127881.53973574172</v>
      </c>
      <c r="AQ22" s="321">
        <f t="shared" si="32"/>
        <v>-127881.53973574172</v>
      </c>
      <c r="AR22" s="321">
        <f t="shared" si="33"/>
        <v>-115093.38576216756</v>
      </c>
      <c r="AS22" s="321">
        <f t="shared" si="34"/>
        <v>-127881.53973574172</v>
      </c>
      <c r="AT22" s="321"/>
      <c r="AV22" s="320" t="s">
        <v>314</v>
      </c>
      <c r="AW22" s="330">
        <f>0.0853699430005022+0.09517920200703</f>
        <v>0.18054914500753222</v>
      </c>
      <c r="AX22" s="331">
        <v>0.1</v>
      </c>
      <c r="AY22" s="331">
        <v>0.09</v>
      </c>
      <c r="AZ22" s="331">
        <v>0.1</v>
      </c>
      <c r="BA22" s="331">
        <v>0.1</v>
      </c>
      <c r="BB22" s="331">
        <v>0.09</v>
      </c>
      <c r="BC22" s="331">
        <v>0.1</v>
      </c>
      <c r="BD22" s="331">
        <v>0.02</v>
      </c>
      <c r="BE22" s="331">
        <v>0.04</v>
      </c>
      <c r="BF22" s="331">
        <v>0.09</v>
      </c>
      <c r="BG22" s="331">
        <v>0.09</v>
      </c>
      <c r="BH22" s="331">
        <v>0.09</v>
      </c>
      <c r="BI22" s="331">
        <v>0.09</v>
      </c>
      <c r="BJ22" s="331">
        <f>+SUM(AX22:BI22)</f>
        <v>0.99999999999999989</v>
      </c>
    </row>
    <row r="23" spans="2:62" x14ac:dyDescent="0.2">
      <c r="B23" s="320" t="s">
        <v>315</v>
      </c>
      <c r="D23" s="321">
        <f>+'Rent roll and financial info'!$Q$24*'Cash flow NOI'!$AW23*'Cash flow NOI'!AX23</f>
        <v>-414754.40057775704</v>
      </c>
      <c r="E23" s="321">
        <f>+'Rent roll and financial info'!$Q$24*'Cash flow NOI'!$AW23*'Cash flow NOI'!AY23</f>
        <v>0</v>
      </c>
      <c r="F23" s="321">
        <f>+'Rent roll and financial info'!$Q$24*'Cash flow NOI'!$AW23*'Cash flow NOI'!AZ23</f>
        <v>0</v>
      </c>
      <c r="G23" s="321">
        <f>+'Rent roll and financial info'!$Q$24*'Cash flow NOI'!$AW23*'Cash flow NOI'!BA23</f>
        <v>0</v>
      </c>
      <c r="H23" s="321">
        <f>+'Rent roll and financial info'!$Q$24*'Cash flow NOI'!$AW23*'Cash flow NOI'!BB23</f>
        <v>0</v>
      </c>
      <c r="I23" s="321">
        <f>+'Rent roll and financial info'!$Q$24*'Cash flow NOI'!$AW23*'Cash flow NOI'!BC23</f>
        <v>0</v>
      </c>
      <c r="J23" s="321">
        <f>+'Rent roll and financial info'!$Q$24*'Cash flow NOI'!$AW23*'Cash flow NOI'!BD23</f>
        <v>0</v>
      </c>
      <c r="K23" s="321">
        <f>+'Rent roll and financial info'!$Q$24*'Cash flow NOI'!$AW23*'Cash flow NOI'!BE23</f>
        <v>0</v>
      </c>
      <c r="L23" s="321">
        <f>+'Rent roll and financial info'!$Q$24*'Cash flow NOI'!$AW23*'Cash flow NOI'!BF23</f>
        <v>0</v>
      </c>
      <c r="M23" s="321">
        <f>+'Rent roll and financial info'!$Q$24*'Cash flow NOI'!$AW23*'Cash flow NOI'!BG23</f>
        <v>0</v>
      </c>
      <c r="N23" s="321">
        <f>+'Rent roll and financial info'!$Q$24*'Cash flow NOI'!$AW23*'Cash flow NOI'!BH23</f>
        <v>0</v>
      </c>
      <c r="O23" s="321">
        <f>+'Rent roll and financial info'!$Q$24*'Cash flow NOI'!$AW23*'Cash flow NOI'!BI23</f>
        <v>0</v>
      </c>
      <c r="P23" s="322">
        <f t="shared" si="35"/>
        <v>-423049.48858931218</v>
      </c>
      <c r="Q23" s="321">
        <f>+E23*1.02</f>
        <v>0</v>
      </c>
      <c r="R23" s="321">
        <f t="shared" si="20"/>
        <v>0</v>
      </c>
      <c r="S23" s="321">
        <f t="shared" si="20"/>
        <v>0</v>
      </c>
      <c r="T23" s="321">
        <f t="shared" si="20"/>
        <v>0</v>
      </c>
      <c r="U23" s="321">
        <f t="shared" si="20"/>
        <v>0</v>
      </c>
      <c r="V23" s="321">
        <f t="shared" si="20"/>
        <v>0</v>
      </c>
      <c r="W23" s="321">
        <f t="shared" si="20"/>
        <v>0</v>
      </c>
      <c r="X23" s="321">
        <f t="shared" si="20"/>
        <v>0</v>
      </c>
      <c r="Y23" s="321">
        <f t="shared" si="20"/>
        <v>0</v>
      </c>
      <c r="Z23" s="321">
        <f t="shared" si="20"/>
        <v>0</v>
      </c>
      <c r="AA23" s="321">
        <f>+O23*1.02</f>
        <v>0</v>
      </c>
      <c r="AB23" s="322">
        <f t="shared" si="38"/>
        <v>-431510.47836109845</v>
      </c>
      <c r="AC23" s="321">
        <f>+Q23*1.02</f>
        <v>0</v>
      </c>
      <c r="AD23" s="321">
        <f t="shared" si="21"/>
        <v>0</v>
      </c>
      <c r="AE23" s="321">
        <f t="shared" si="22"/>
        <v>0</v>
      </c>
      <c r="AF23" s="321">
        <f t="shared" si="23"/>
        <v>0</v>
      </c>
      <c r="AG23" s="321">
        <f t="shared" si="24"/>
        <v>0</v>
      </c>
      <c r="AH23" s="321">
        <f t="shared" si="25"/>
        <v>0</v>
      </c>
      <c r="AI23" s="321">
        <f t="shared" si="26"/>
        <v>0</v>
      </c>
      <c r="AJ23" s="321">
        <f t="shared" si="27"/>
        <v>0</v>
      </c>
      <c r="AK23" s="321">
        <f t="shared" si="28"/>
        <v>0</v>
      </c>
      <c r="AL23" s="321">
        <f t="shared" si="29"/>
        <v>0</v>
      </c>
      <c r="AM23" s="321">
        <f>+AA23*1.02</f>
        <v>0</v>
      </c>
      <c r="AN23" s="322">
        <f t="shared" si="41"/>
        <v>-440140.68792832043</v>
      </c>
      <c r="AO23" s="321">
        <f>+AC23*1.02</f>
        <v>0</v>
      </c>
      <c r="AP23" s="321">
        <f t="shared" si="31"/>
        <v>0</v>
      </c>
      <c r="AQ23" s="321">
        <f t="shared" si="32"/>
        <v>0</v>
      </c>
      <c r="AR23" s="321">
        <f t="shared" si="33"/>
        <v>0</v>
      </c>
      <c r="AS23" s="321">
        <f t="shared" si="34"/>
        <v>0</v>
      </c>
      <c r="AT23" s="321"/>
      <c r="AV23" s="320" t="s">
        <v>315</v>
      </c>
      <c r="AW23" s="330">
        <v>6.2141122989837594E-2</v>
      </c>
      <c r="AX23" s="331">
        <v>1</v>
      </c>
      <c r="AY23" s="331">
        <v>0</v>
      </c>
      <c r="AZ23" s="331">
        <v>0</v>
      </c>
      <c r="BA23" s="331">
        <v>0</v>
      </c>
      <c r="BB23" s="331">
        <v>0</v>
      </c>
      <c r="BC23" s="331">
        <v>0</v>
      </c>
      <c r="BD23" s="331">
        <v>0</v>
      </c>
      <c r="BE23" s="331">
        <v>0</v>
      </c>
      <c r="BF23" s="331">
        <v>0</v>
      </c>
      <c r="BG23" s="331">
        <v>0</v>
      </c>
      <c r="BH23" s="331">
        <v>0</v>
      </c>
      <c r="BI23" s="331">
        <v>0</v>
      </c>
      <c r="BJ23" s="331">
        <f>+SUM(AX23:BI23)</f>
        <v>1</v>
      </c>
    </row>
    <row r="24" spans="2:62" x14ac:dyDescent="0.2">
      <c r="B24" s="323" t="s">
        <v>316</v>
      </c>
      <c r="C24" s="327"/>
      <c r="D24" s="324">
        <f>+'Rent roll and financial info'!$Q$24*'Cash flow NOI'!$AW24*'Cash flow NOI'!AX24</f>
        <v>-95335.235036066588</v>
      </c>
      <c r="E24" s="324">
        <f>+'Rent roll and financial info'!$Q$24*'Cash flow NOI'!$AW24*'Cash flow NOI'!AY24</f>
        <v>0</v>
      </c>
      <c r="F24" s="324">
        <f>+'Rent roll and financial info'!$Q$24*'Cash flow NOI'!$AW24*'Cash flow NOI'!AZ24</f>
        <v>0</v>
      </c>
      <c r="G24" s="324">
        <f>+'Rent roll and financial info'!$Q$24*'Cash flow NOI'!$AW24*'Cash flow NOI'!BA24</f>
        <v>0</v>
      </c>
      <c r="H24" s="324">
        <f>+'Rent roll and financial info'!$Q$24*'Cash flow NOI'!$AW24*'Cash flow NOI'!BB24</f>
        <v>0</v>
      </c>
      <c r="I24" s="324">
        <f>+'Rent roll and financial info'!$Q$24*'Cash flow NOI'!$AW24*'Cash flow NOI'!BC24</f>
        <v>0</v>
      </c>
      <c r="J24" s="324">
        <f>+'Rent roll and financial info'!$Q$24*'Cash flow NOI'!$AW24*'Cash flow NOI'!BD24</f>
        <v>0</v>
      </c>
      <c r="K24" s="324">
        <f>+'Rent roll and financial info'!$Q$24*'Cash flow NOI'!$AW24*'Cash flow NOI'!BE24</f>
        <v>0</v>
      </c>
      <c r="L24" s="324">
        <f>+'Rent roll and financial info'!$Q$24*'Cash flow NOI'!$AW24*'Cash flow NOI'!BF24</f>
        <v>0</v>
      </c>
      <c r="M24" s="324">
        <f>+'Rent roll and financial info'!$Q$24*'Cash flow NOI'!$AW24*'Cash flow NOI'!BG24</f>
        <v>0</v>
      </c>
      <c r="N24" s="324">
        <f>+'Rent roll and financial info'!$Q$24*'Cash flow NOI'!$AW24*'Cash flow NOI'!BH24</f>
        <v>0</v>
      </c>
      <c r="O24" s="324">
        <f>+'Rent roll and financial info'!$Q$24*'Cash flow NOI'!$AW24*'Cash flow NOI'!BI24</f>
        <v>0</v>
      </c>
      <c r="P24" s="325">
        <f t="shared" si="35"/>
        <v>-97241.939736787928</v>
      </c>
      <c r="Q24" s="324">
        <f>+E24*1.02</f>
        <v>0</v>
      </c>
      <c r="R24" s="324">
        <f t="shared" si="20"/>
        <v>0</v>
      </c>
      <c r="S24" s="324">
        <f t="shared" si="20"/>
        <v>0</v>
      </c>
      <c r="T24" s="324">
        <f t="shared" si="20"/>
        <v>0</v>
      </c>
      <c r="U24" s="324">
        <f t="shared" si="20"/>
        <v>0</v>
      </c>
      <c r="V24" s="324">
        <f t="shared" si="20"/>
        <v>0</v>
      </c>
      <c r="W24" s="324">
        <f t="shared" si="20"/>
        <v>0</v>
      </c>
      <c r="X24" s="324">
        <f t="shared" si="20"/>
        <v>0</v>
      </c>
      <c r="Y24" s="324">
        <f t="shared" si="20"/>
        <v>0</v>
      </c>
      <c r="Z24" s="324">
        <f t="shared" si="20"/>
        <v>0</v>
      </c>
      <c r="AA24" s="332">
        <f>+O24*1.02</f>
        <v>0</v>
      </c>
      <c r="AB24" s="325">
        <f t="shared" si="38"/>
        <v>-99186.778531523683</v>
      </c>
      <c r="AC24" s="324">
        <f>+Q24*1.02</f>
        <v>0</v>
      </c>
      <c r="AD24" s="324">
        <f t="shared" si="21"/>
        <v>0</v>
      </c>
      <c r="AE24" s="324">
        <f t="shared" si="22"/>
        <v>0</v>
      </c>
      <c r="AF24" s="324">
        <f t="shared" si="23"/>
        <v>0</v>
      </c>
      <c r="AG24" s="324">
        <f t="shared" si="24"/>
        <v>0</v>
      </c>
      <c r="AH24" s="324">
        <f t="shared" si="25"/>
        <v>0</v>
      </c>
      <c r="AI24" s="324">
        <f t="shared" si="26"/>
        <v>0</v>
      </c>
      <c r="AJ24" s="324">
        <f t="shared" si="27"/>
        <v>0</v>
      </c>
      <c r="AK24" s="324">
        <f t="shared" si="28"/>
        <v>0</v>
      </c>
      <c r="AL24" s="324">
        <f t="shared" si="29"/>
        <v>0</v>
      </c>
      <c r="AM24" s="332">
        <f>+AA24*1.02</f>
        <v>0</v>
      </c>
      <c r="AN24" s="325">
        <f t="shared" si="41"/>
        <v>-101170.51410215416</v>
      </c>
      <c r="AO24" s="324">
        <f>+AC24*1.02</f>
        <v>0</v>
      </c>
      <c r="AP24" s="324">
        <f t="shared" si="31"/>
        <v>0</v>
      </c>
      <c r="AQ24" s="324">
        <f t="shared" si="32"/>
        <v>0</v>
      </c>
      <c r="AR24" s="324">
        <f t="shared" si="33"/>
        <v>0</v>
      </c>
      <c r="AS24" s="324">
        <f t="shared" si="34"/>
        <v>0</v>
      </c>
      <c r="AT24" s="324"/>
      <c r="AU24" s="327"/>
      <c r="AV24" s="323" t="s">
        <v>316</v>
      </c>
      <c r="AW24" s="333">
        <v>1.4283726845064848E-2</v>
      </c>
      <c r="AX24" s="334">
        <v>1</v>
      </c>
      <c r="AY24" s="334">
        <v>0</v>
      </c>
      <c r="AZ24" s="334">
        <v>0</v>
      </c>
      <c r="BA24" s="334">
        <v>0</v>
      </c>
      <c r="BB24" s="334">
        <v>0</v>
      </c>
      <c r="BC24" s="334">
        <v>0</v>
      </c>
      <c r="BD24" s="334">
        <v>0</v>
      </c>
      <c r="BE24" s="334">
        <v>0</v>
      </c>
      <c r="BF24" s="334">
        <v>0</v>
      </c>
      <c r="BG24" s="334">
        <v>0</v>
      </c>
      <c r="BH24" s="334">
        <v>0</v>
      </c>
      <c r="BI24" s="334">
        <v>0</v>
      </c>
      <c r="BJ24" s="331">
        <f>+SUM(AX24:BI24)</f>
        <v>1</v>
      </c>
    </row>
    <row r="25" spans="2:62" x14ac:dyDescent="0.2">
      <c r="B25" s="326" t="s">
        <v>203</v>
      </c>
      <c r="D25" s="321">
        <f>+SUM(D12:D24)</f>
        <v>-1263650.3595738455</v>
      </c>
      <c r="E25" s="321">
        <f t="shared" ref="E25:L25" si="46">+SUM(E12:E24)</f>
        <v>-647941.78458963323</v>
      </c>
      <c r="F25" s="321">
        <f t="shared" si="46"/>
        <v>-607787.72398492822</v>
      </c>
      <c r="G25" s="321">
        <f t="shared" si="46"/>
        <v>-519980.01573867712</v>
      </c>
      <c r="H25" s="321">
        <f t="shared" si="46"/>
        <v>-468235.85547987605</v>
      </c>
      <c r="I25" s="321">
        <f t="shared" si="46"/>
        <v>-397409.45703396393</v>
      </c>
      <c r="J25" s="321">
        <f t="shared" si="46"/>
        <v>-130013.95989636844</v>
      </c>
      <c r="K25" s="321">
        <f t="shared" si="46"/>
        <v>-261825.57117973699</v>
      </c>
      <c r="L25" s="321">
        <f t="shared" si="46"/>
        <v>-503914.06153886841</v>
      </c>
      <c r="M25" s="321">
        <f>+SUM(M12:M24)</f>
        <v>-554034.59508644778</v>
      </c>
      <c r="N25" s="321">
        <f t="shared" ref="N25:O25" si="47">+SUM(N12:N24)</f>
        <v>-596421.54034785007</v>
      </c>
      <c r="O25" s="321">
        <f t="shared" si="47"/>
        <v>-723180.07554980263</v>
      </c>
      <c r="P25" s="321">
        <f t="shared" ref="P25" si="48">+SUM(P12:P24)</f>
        <v>-1288923.3667653224</v>
      </c>
      <c r="Q25" s="321">
        <f t="shared" ref="Q25" si="49">+SUM(Q12:Q24)</f>
        <v>-660900.62028142589</v>
      </c>
      <c r="R25" s="321">
        <f t="shared" ref="R25" si="50">+SUM(R12:R24)</f>
        <v>-619943.47846462694</v>
      </c>
      <c r="S25" s="321">
        <f t="shared" ref="S25" si="51">+SUM(S12:S24)</f>
        <v>-530379.61605345085</v>
      </c>
      <c r="T25" s="321">
        <f t="shared" ref="T25" si="52">+SUM(T12:T24)</f>
        <v>-477600.57258947357</v>
      </c>
      <c r="U25" s="321">
        <f t="shared" ref="U25" si="53">+SUM(U12:U24)</f>
        <v>-405357.64617464319</v>
      </c>
      <c r="V25" s="321">
        <f t="shared" ref="V25" si="54">+SUM(V12:V24)</f>
        <v>-132614.2390942958</v>
      </c>
      <c r="W25" s="321">
        <f t="shared" ref="W25" si="55">+SUM(W12:W24)</f>
        <v>-267062.08260333171</v>
      </c>
      <c r="X25" s="321">
        <f t="shared" ref="X25" si="56">+SUM(X12:X24)</f>
        <v>-513992.34276964579</v>
      </c>
      <c r="Y25" s="321">
        <f t="shared" ref="Y25" si="57">+SUM(Y12:Y24)</f>
        <v>-565115.28698817675</v>
      </c>
      <c r="Z25" s="321">
        <f t="shared" ref="Z25" si="58">+SUM(Z12:Z24)</f>
        <v>-608349.97115480702</v>
      </c>
      <c r="AA25" s="321">
        <f t="shared" ref="AA25" si="59">+SUM(AA12:AA24)</f>
        <v>-737643.67706079874</v>
      </c>
      <c r="AB25" s="321">
        <f t="shared" ref="AB25" si="60">+SUM(AB12:AB24)</f>
        <v>-1314701.834100629</v>
      </c>
      <c r="AC25" s="321">
        <f t="shared" ref="AC25" si="61">+SUM(AC12:AC24)</f>
        <v>-674118.63268705446</v>
      </c>
      <c r="AD25" s="321">
        <f t="shared" ref="AD25" si="62">+SUM(AD12:AD24)</f>
        <v>-632342.34803391935</v>
      </c>
      <c r="AE25" s="321">
        <f t="shared" ref="AE25" si="63">+SUM(AE12:AE24)</f>
        <v>-540987.20837451972</v>
      </c>
      <c r="AF25" s="321">
        <f t="shared" ref="AF25" si="64">+SUM(AF12:AF24)</f>
        <v>-487152.58404126298</v>
      </c>
      <c r="AG25" s="321">
        <f t="shared" ref="AG25" si="65">+SUM(AG12:AG24)</f>
        <v>-413464.79909813614</v>
      </c>
      <c r="AH25" s="321">
        <f t="shared" ref="AH25" si="66">+SUM(AH12:AH24)</f>
        <v>-135266.52387618172</v>
      </c>
      <c r="AI25" s="321">
        <f t="shared" ref="AI25" si="67">+SUM(AI12:AI24)</f>
        <v>-272403.32425539836</v>
      </c>
      <c r="AJ25" s="321">
        <f t="shared" ref="AJ25" si="68">+SUM(AJ12:AJ24)</f>
        <v>-524272.18962503865</v>
      </c>
      <c r="AK25" s="321">
        <f t="shared" ref="AK25" si="69">+SUM(AK12:AK24)</f>
        <v>-576417.5927279403</v>
      </c>
      <c r="AL25" s="321">
        <f t="shared" ref="AL25" si="70">+SUM(AL12:AL24)</f>
        <v>-620516.97057790332</v>
      </c>
      <c r="AM25" s="321">
        <f t="shared" ref="AM25" si="71">+SUM(AM12:AM24)</f>
        <v>-752396.55060201464</v>
      </c>
      <c r="AN25" s="321">
        <f t="shared" ref="AN25" si="72">+SUM(AN12:AN24)</f>
        <v>-1340995.8707826417</v>
      </c>
      <c r="AO25" s="321">
        <f t="shared" ref="AO25" si="73">+SUM(AO12:AO24)</f>
        <v>-687601.00534079561</v>
      </c>
      <c r="AP25" s="321">
        <f t="shared" ref="AP25" si="74">+SUM(AP12:AP24)</f>
        <v>-644989.1949945977</v>
      </c>
      <c r="AQ25" s="321">
        <f t="shared" ref="AQ25" si="75">+SUM(AQ12:AQ24)</f>
        <v>-551806.95254201011</v>
      </c>
      <c r="AR25" s="321">
        <f t="shared" ref="AR25" si="76">+SUM(AR12:AR24)</f>
        <v>-496895.63572208834</v>
      </c>
      <c r="AS25" s="321">
        <f t="shared" ref="AS25" si="77">+SUM(AS12:AS24)</f>
        <v>-421734.09508009884</v>
      </c>
      <c r="AT25" s="385"/>
      <c r="AW25" s="330">
        <f>+SUM(AW12:AW24)</f>
        <v>1</v>
      </c>
      <c r="AX25" s="330">
        <f>+SUM(AX12:AX24)/12</f>
        <v>0.26805555555555555</v>
      </c>
      <c r="AY25" s="330">
        <f>+SUM(AY12:AY24)/12</f>
        <v>9.3055555555555558E-2</v>
      </c>
      <c r="AZ25" s="330">
        <f>+SUM(AZ12:AZ24)/12</f>
        <v>8.9722222222222217E-2</v>
      </c>
      <c r="BA25" s="330">
        <f>+SUM(BA12:BA24)/12</f>
        <v>7.7222222222222234E-2</v>
      </c>
      <c r="BB25" s="330">
        <f>+SUM(BB12:BB24)/12</f>
        <v>7.3055555555555554E-2</v>
      </c>
      <c r="BC25" s="330">
        <f t="shared" ref="BC25:BH25" si="78">+SUM(BC12:BC24)/12</f>
        <v>7.1388888888888891E-2</v>
      </c>
      <c r="BD25" s="330">
        <f t="shared" si="78"/>
        <v>3.4722222222222224E-2</v>
      </c>
      <c r="BE25" s="330">
        <f t="shared" si="78"/>
        <v>4.7222222222222221E-2</v>
      </c>
      <c r="BF25" s="330">
        <f t="shared" si="78"/>
        <v>7.8055555555555559E-2</v>
      </c>
      <c r="BG25" s="330">
        <f t="shared" si="78"/>
        <v>7.9722222222222222E-2</v>
      </c>
      <c r="BH25" s="330">
        <f t="shared" si="78"/>
        <v>7.9722222222222222E-2</v>
      </c>
      <c r="BI25" s="330">
        <f>+SUM(BI12:BI24)/12</f>
        <v>9.1388888888888908E-2</v>
      </c>
    </row>
    <row r="26" spans="2:62" x14ac:dyDescent="0.2"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</row>
    <row r="27" spans="2:62" x14ac:dyDescent="0.2">
      <c r="B27" s="326" t="s">
        <v>320</v>
      </c>
      <c r="D27" s="385">
        <f>+D9+D25</f>
        <v>4831228.0116382651</v>
      </c>
      <c r="E27" s="385">
        <f t="shared" ref="E27:AS27" si="79">+E9+E25</f>
        <v>5446936.5866224775</v>
      </c>
      <c r="F27" s="385">
        <f t="shared" si="79"/>
        <v>5487090.647227183</v>
      </c>
      <c r="G27" s="385">
        <f t="shared" si="79"/>
        <v>5574898.3554734336</v>
      </c>
      <c r="H27" s="385">
        <f t="shared" si="79"/>
        <v>5626642.5157322343</v>
      </c>
      <c r="I27" s="385">
        <f t="shared" si="79"/>
        <v>5697468.914178147</v>
      </c>
      <c r="J27" s="385">
        <f t="shared" si="79"/>
        <v>5964864.4113157429</v>
      </c>
      <c r="K27" s="385">
        <f t="shared" si="79"/>
        <v>5833052.8000323735</v>
      </c>
      <c r="L27" s="385">
        <f t="shared" si="79"/>
        <v>5590964.3096732423</v>
      </c>
      <c r="M27" s="385">
        <f t="shared" si="79"/>
        <v>5540843.776125663</v>
      </c>
      <c r="N27" s="385">
        <f t="shared" si="79"/>
        <v>5498456.8308642609</v>
      </c>
      <c r="O27" s="385">
        <f t="shared" si="79"/>
        <v>5371698.2956623081</v>
      </c>
      <c r="P27" s="385">
        <f t="shared" si="79"/>
        <v>4927852.5718710311</v>
      </c>
      <c r="Q27" s="385">
        <f t="shared" si="79"/>
        <v>5555875.318354927</v>
      </c>
      <c r="R27" s="385">
        <f t="shared" si="79"/>
        <v>5596832.4601717265</v>
      </c>
      <c r="S27" s="385">
        <f t="shared" si="79"/>
        <v>5686396.3225829024</v>
      </c>
      <c r="T27" s="385">
        <f t="shared" si="79"/>
        <v>5739175.3660468794</v>
      </c>
      <c r="U27" s="385">
        <f t="shared" si="79"/>
        <v>5811418.2924617101</v>
      </c>
      <c r="V27" s="385">
        <f t="shared" si="79"/>
        <v>6084161.6995420577</v>
      </c>
      <c r="W27" s="385">
        <f t="shared" si="79"/>
        <v>5949713.8560330216</v>
      </c>
      <c r="X27" s="385">
        <f t="shared" si="79"/>
        <v>5702783.5958667072</v>
      </c>
      <c r="Y27" s="385">
        <f t="shared" si="79"/>
        <v>5651660.6516481768</v>
      </c>
      <c r="Z27" s="385">
        <f t="shared" si="79"/>
        <v>5608425.9674815461</v>
      </c>
      <c r="AA27" s="385">
        <f t="shared" si="79"/>
        <v>5479132.2615755545</v>
      </c>
      <c r="AB27" s="385">
        <f t="shared" si="79"/>
        <v>5026409.6233084509</v>
      </c>
      <c r="AC27" s="385">
        <f t="shared" si="79"/>
        <v>5666992.8247220255</v>
      </c>
      <c r="AD27" s="385">
        <f t="shared" si="79"/>
        <v>5708769.1093751611</v>
      </c>
      <c r="AE27" s="385">
        <f t="shared" si="79"/>
        <v>5800124.2490345603</v>
      </c>
      <c r="AF27" s="385">
        <f t="shared" si="79"/>
        <v>5853958.8733678171</v>
      </c>
      <c r="AG27" s="385">
        <f t="shared" si="79"/>
        <v>5927646.6583109442</v>
      </c>
      <c r="AH27" s="385">
        <f t="shared" si="79"/>
        <v>6205844.9335328983</v>
      </c>
      <c r="AI27" s="385">
        <f t="shared" si="79"/>
        <v>6068708.1331536816</v>
      </c>
      <c r="AJ27" s="385">
        <f t="shared" si="79"/>
        <v>5816839.2677840414</v>
      </c>
      <c r="AK27" s="385">
        <f t="shared" si="79"/>
        <v>5764693.8646811396</v>
      </c>
      <c r="AL27" s="385">
        <f t="shared" si="79"/>
        <v>5720594.486831177</v>
      </c>
      <c r="AM27" s="385">
        <f t="shared" si="79"/>
        <v>5588714.906807065</v>
      </c>
      <c r="AN27" s="385">
        <f t="shared" si="79"/>
        <v>5126937.8157746196</v>
      </c>
      <c r="AO27" s="385">
        <f t="shared" si="79"/>
        <v>5780332.6812164653</v>
      </c>
      <c r="AP27" s="385">
        <f t="shared" si="79"/>
        <v>5822944.4915626636</v>
      </c>
      <c r="AQ27" s="385">
        <f t="shared" si="79"/>
        <v>5916126.7340152515</v>
      </c>
      <c r="AR27" s="385">
        <f t="shared" si="79"/>
        <v>5971038.0508351726</v>
      </c>
      <c r="AS27" s="385">
        <f t="shared" si="79"/>
        <v>6046199.5914771622</v>
      </c>
    </row>
    <row r="28" spans="2:62" x14ac:dyDescent="0.2"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2:62" x14ac:dyDescent="0.2">
      <c r="B29" s="316" t="s">
        <v>321</v>
      </c>
      <c r="AW29" s="321"/>
    </row>
    <row r="30" spans="2:62" x14ac:dyDescent="0.2">
      <c r="B30" s="320" t="s">
        <v>322</v>
      </c>
      <c r="D30" s="403">
        <v>0</v>
      </c>
      <c r="E30" s="321">
        <v>0</v>
      </c>
      <c r="F30" s="321">
        <v>0</v>
      </c>
      <c r="G30" s="321">
        <f>-SUMIF(Amortization!$C:$C,'Cash flow NOI'!G3,Amortization!$E:$E)</f>
        <v>-8798400.0000000019</v>
      </c>
      <c r="H30" s="321">
        <v>0</v>
      </c>
      <c r="I30" s="321">
        <v>0</v>
      </c>
      <c r="J30" s="321">
        <f>-SUMIF(Amortization!$C:$C,'Cash flow NOI'!J3,Amortization!$E:$E)</f>
        <v>-8776404.0000000019</v>
      </c>
      <c r="K30" s="321">
        <v>0</v>
      </c>
      <c r="L30" s="321">
        <v>0</v>
      </c>
      <c r="M30" s="321">
        <f>-SUMIF(Amortization!$C:$C,'Cash flow NOI'!M3,Amortization!$E:$E)</f>
        <v>-8754408.0000000019</v>
      </c>
      <c r="N30" s="321">
        <v>0</v>
      </c>
      <c r="O30" s="321">
        <v>0</v>
      </c>
      <c r="P30" s="321">
        <f>-SUMIF(Amortization!$C:$C,'Cash flow NOI'!P3,Amortization!$E:$E)</f>
        <v>-8732412.0000000019</v>
      </c>
      <c r="Q30" s="321">
        <v>0</v>
      </c>
      <c r="R30" s="321">
        <v>0</v>
      </c>
      <c r="S30" s="321">
        <f>-SUMIF(Amortization!$C:$C,'Cash flow NOI'!S3,Amortization!$E:$E)</f>
        <v>-8710416.0000000019</v>
      </c>
      <c r="T30" s="321">
        <v>0</v>
      </c>
      <c r="U30" s="321">
        <v>0</v>
      </c>
      <c r="V30" s="321">
        <f>-SUMIF(Amortization!$C:$C,'Cash flow NOI'!V3,Amortization!$E:$E)</f>
        <v>-8688420.0000000019</v>
      </c>
      <c r="W30" s="321">
        <v>0</v>
      </c>
      <c r="X30" s="321">
        <v>0</v>
      </c>
      <c r="Y30" s="321">
        <f>-SUMIF(Amortization!$C:$C,'Cash flow NOI'!Y3,Amortization!$E:$E)</f>
        <v>-8666424.0000000019</v>
      </c>
      <c r="Z30" s="321">
        <v>0</v>
      </c>
      <c r="AA30" s="321">
        <v>0</v>
      </c>
      <c r="AB30" s="321">
        <f>-SUMIF(Amortization!$C:$C,'Cash flow NOI'!AB3,Amortization!$E:$E)</f>
        <v>-8644428.0000000019</v>
      </c>
      <c r="AC30" s="321">
        <v>0</v>
      </c>
      <c r="AD30" s="321">
        <v>0</v>
      </c>
      <c r="AE30" s="321">
        <f>-SUMIF(Amortization!$C:$C,'Cash flow NOI'!AE3,Amortization!$E:$E)</f>
        <v>-8622432.0000000019</v>
      </c>
      <c r="AF30" s="321">
        <v>0</v>
      </c>
      <c r="AG30" s="321">
        <v>0</v>
      </c>
      <c r="AH30" s="321">
        <f>-SUMIF(Amortization!$C:$C,'Cash flow NOI'!AH3,Amortization!$E:$E)</f>
        <v>-8600436.0000000019</v>
      </c>
      <c r="AI30" s="321">
        <v>0</v>
      </c>
      <c r="AJ30" s="321">
        <v>0</v>
      </c>
      <c r="AK30" s="321">
        <f>-SUMIF(Amortization!$C:$C,'Cash flow NOI'!AK3,Amortization!$E:$E)</f>
        <v>-8578440.0000000019</v>
      </c>
      <c r="AL30" s="321">
        <v>0</v>
      </c>
      <c r="AM30" s="321">
        <v>0</v>
      </c>
      <c r="AN30" s="321">
        <f>-SUMIF(Amortization!$C:$C,'Cash flow NOI'!AN3,Amortization!$E:$E)</f>
        <v>-8556444.0000000019</v>
      </c>
      <c r="AO30" s="321">
        <v>0</v>
      </c>
      <c r="AP30" s="321">
        <v>0</v>
      </c>
      <c r="AQ30" s="321">
        <f>-SUMIF(Amortization!$C:$C,'Cash flow NOI'!AQ3,Amortization!$E:$E)</f>
        <v>-8534448.0000000019</v>
      </c>
      <c r="AR30" s="321">
        <v>0</v>
      </c>
      <c r="AS30" s="321">
        <v>0</v>
      </c>
      <c r="AW30" s="321"/>
    </row>
    <row r="31" spans="2:62" x14ac:dyDescent="0.2">
      <c r="B31" s="320" t="s">
        <v>323</v>
      </c>
      <c r="D31" s="321">
        <v>0</v>
      </c>
      <c r="E31" s="321">
        <v>0</v>
      </c>
      <c r="F31" s="321">
        <v>0</v>
      </c>
      <c r="G31" s="321">
        <f>-SUMIF(Amortization!$C:$C,'Cash flow NOI'!G3,Amortization!$D:$D)</f>
        <v>-2444000</v>
      </c>
      <c r="H31" s="321">
        <v>0</v>
      </c>
      <c r="I31" s="321">
        <v>0</v>
      </c>
      <c r="J31" s="321">
        <f>-SUMIF(Amortization!$C:$C,'Cash flow NOI'!J3,Amortization!$D:$D)</f>
        <v>-2444000</v>
      </c>
      <c r="K31" s="321">
        <v>0</v>
      </c>
      <c r="L31" s="321">
        <v>0</v>
      </c>
      <c r="M31" s="321">
        <f>-SUMIF(Amortization!$C:$C,'Cash flow NOI'!M3,Amortization!$D:$D)</f>
        <v>-2444000</v>
      </c>
      <c r="N31" s="321">
        <v>0</v>
      </c>
      <c r="O31" s="321">
        <v>0</v>
      </c>
      <c r="P31" s="321">
        <f>-SUMIF(Amortization!$C:$C,'Cash flow NOI'!P3,Amortization!$D:$D)</f>
        <v>-2444000</v>
      </c>
      <c r="Q31" s="321">
        <v>0</v>
      </c>
      <c r="R31" s="321">
        <v>0</v>
      </c>
      <c r="S31" s="321">
        <f>-SUMIF(Amortization!$C:$C,'Cash flow NOI'!S3,Amortization!$D:$D)</f>
        <v>-2444000</v>
      </c>
      <c r="T31" s="321">
        <v>0</v>
      </c>
      <c r="U31" s="321">
        <v>0</v>
      </c>
      <c r="V31" s="321">
        <f>-SUMIF(Amortization!$C:$C,'Cash flow NOI'!V3,Amortization!$D:$D)</f>
        <v>-2444000</v>
      </c>
      <c r="W31" s="321">
        <v>0</v>
      </c>
      <c r="X31" s="321">
        <v>0</v>
      </c>
      <c r="Y31" s="321">
        <f>-SUMIF(Amortization!$C:$C,'Cash flow NOI'!Y3,Amortization!$D:$D)</f>
        <v>-2444000</v>
      </c>
      <c r="Z31" s="321">
        <v>0</v>
      </c>
      <c r="AA31" s="321">
        <v>0</v>
      </c>
      <c r="AB31" s="321">
        <f>-SUMIF(Amortization!$C:$C,'Cash flow NOI'!AB3,Amortization!$D:$D)</f>
        <v>-2444000</v>
      </c>
      <c r="AC31" s="321">
        <v>0</v>
      </c>
      <c r="AD31" s="321">
        <v>0</v>
      </c>
      <c r="AE31" s="321">
        <f>-SUMIF(Amortization!$C:$C,'Cash flow NOI'!AE3,Amortization!$D:$D)</f>
        <v>-2444000</v>
      </c>
      <c r="AF31" s="321">
        <v>0</v>
      </c>
      <c r="AG31" s="321">
        <v>0</v>
      </c>
      <c r="AH31" s="321">
        <f>-SUMIF(Amortization!$C:$C,'Cash flow NOI'!AH3,Amortization!$D:$D)</f>
        <v>-2444000</v>
      </c>
      <c r="AI31" s="321">
        <v>0</v>
      </c>
      <c r="AJ31" s="321">
        <v>0</v>
      </c>
      <c r="AK31" s="321">
        <f>-SUMIF(Amortization!$C:$C,'Cash flow NOI'!AK3,Amortization!$D:$D)</f>
        <v>-2444000</v>
      </c>
      <c r="AL31" s="321">
        <v>0</v>
      </c>
      <c r="AM31" s="321">
        <v>0</v>
      </c>
      <c r="AN31" s="321">
        <f>-SUMIF(Amortization!$C:$C,'Cash flow NOI'!AN3,Amortization!$D:$D)</f>
        <v>-2444000</v>
      </c>
      <c r="AO31" s="321">
        <v>0</v>
      </c>
      <c r="AP31" s="321">
        <v>0</v>
      </c>
      <c r="AQ31" s="321">
        <f>-SUMIF(Amortization!$C:$C,'Cash flow NOI'!AQ3,Amortization!$D:$D)</f>
        <v>-2444000</v>
      </c>
      <c r="AR31" s="321">
        <v>0</v>
      </c>
      <c r="AS31" s="321">
        <v>0</v>
      </c>
      <c r="AW31" s="321"/>
    </row>
    <row r="32" spans="2:62" x14ac:dyDescent="0.2">
      <c r="B32" s="323" t="s">
        <v>331</v>
      </c>
      <c r="C32" s="327"/>
      <c r="D32" s="324">
        <f>-'Rent roll and financial info'!C25*'Rent roll and financial info'!C22</f>
        <v>-4888000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327">
        <v>0</v>
      </c>
      <c r="Z32" s="327">
        <v>0</v>
      </c>
      <c r="AA32" s="327">
        <v>0</v>
      </c>
      <c r="AB32" s="327">
        <v>0</v>
      </c>
      <c r="AC32" s="327">
        <v>0</v>
      </c>
      <c r="AD32" s="327">
        <v>0</v>
      </c>
      <c r="AE32" s="327">
        <v>0</v>
      </c>
      <c r="AF32" s="327">
        <v>0</v>
      </c>
      <c r="AG32" s="327">
        <v>0</v>
      </c>
      <c r="AH32" s="327">
        <v>0</v>
      </c>
      <c r="AI32" s="327">
        <v>0</v>
      </c>
      <c r="AJ32" s="327">
        <v>0</v>
      </c>
      <c r="AK32" s="327">
        <v>0</v>
      </c>
      <c r="AL32" s="327">
        <v>0</v>
      </c>
      <c r="AM32" s="327">
        <v>0</v>
      </c>
      <c r="AN32" s="327">
        <v>0</v>
      </c>
      <c r="AO32" s="327">
        <v>0</v>
      </c>
      <c r="AP32" s="327">
        <v>0</v>
      </c>
      <c r="AQ32" s="327">
        <v>0</v>
      </c>
      <c r="AR32" s="327">
        <v>0</v>
      </c>
      <c r="AS32" s="327">
        <v>0</v>
      </c>
      <c r="AT32" s="327"/>
      <c r="AW32" s="321"/>
    </row>
    <row r="33" spans="2:49" x14ac:dyDescent="0.2">
      <c r="B33" s="402" t="s">
        <v>332</v>
      </c>
      <c r="C33" s="317"/>
      <c r="D33" s="407">
        <f t="shared" ref="D33:AS33" si="80">+SUM(D27:D32)</f>
        <v>-56771.988361734897</v>
      </c>
      <c r="E33" s="407">
        <f t="shared" si="80"/>
        <v>5446936.5866224775</v>
      </c>
      <c r="F33" s="407">
        <f t="shared" si="80"/>
        <v>5487090.647227183</v>
      </c>
      <c r="G33" s="407">
        <f t="shared" si="80"/>
        <v>-5667501.6445265682</v>
      </c>
      <c r="H33" s="407">
        <f t="shared" si="80"/>
        <v>5626642.5157322343</v>
      </c>
      <c r="I33" s="407">
        <f t="shared" si="80"/>
        <v>5697468.914178147</v>
      </c>
      <c r="J33" s="407">
        <f t="shared" si="80"/>
        <v>-5255539.588684259</v>
      </c>
      <c r="K33" s="407">
        <f t="shared" si="80"/>
        <v>5833052.8000323735</v>
      </c>
      <c r="L33" s="407">
        <f t="shared" si="80"/>
        <v>5590964.3096732423</v>
      </c>
      <c r="M33" s="407">
        <f t="shared" si="80"/>
        <v>-5657564.2238743389</v>
      </c>
      <c r="N33" s="407">
        <f t="shared" si="80"/>
        <v>5498456.8308642609</v>
      </c>
      <c r="O33" s="407">
        <f t="shared" si="80"/>
        <v>5371698.2956623081</v>
      </c>
      <c r="P33" s="407">
        <f t="shared" si="80"/>
        <v>-6248559.4281289708</v>
      </c>
      <c r="Q33" s="407">
        <f t="shared" si="80"/>
        <v>5555875.318354927</v>
      </c>
      <c r="R33" s="407">
        <f t="shared" si="80"/>
        <v>5596832.4601717265</v>
      </c>
      <c r="S33" s="407">
        <f t="shared" si="80"/>
        <v>-5468019.6774170995</v>
      </c>
      <c r="T33" s="407">
        <f t="shared" si="80"/>
        <v>5739175.3660468794</v>
      </c>
      <c r="U33" s="407">
        <f t="shared" si="80"/>
        <v>5811418.2924617101</v>
      </c>
      <c r="V33" s="407">
        <f t="shared" si="80"/>
        <v>-5048258.3004579442</v>
      </c>
      <c r="W33" s="407">
        <f t="shared" si="80"/>
        <v>5949713.8560330216</v>
      </c>
      <c r="X33" s="407">
        <f t="shared" si="80"/>
        <v>5702783.5958667072</v>
      </c>
      <c r="Y33" s="407">
        <f t="shared" si="80"/>
        <v>-5458763.348351825</v>
      </c>
      <c r="Z33" s="407">
        <f t="shared" si="80"/>
        <v>5608425.9674815461</v>
      </c>
      <c r="AA33" s="407">
        <f t="shared" si="80"/>
        <v>5479132.2615755545</v>
      </c>
      <c r="AB33" s="407">
        <f t="shared" si="80"/>
        <v>-6062018.3766915509</v>
      </c>
      <c r="AC33" s="407">
        <f t="shared" si="80"/>
        <v>5666992.8247220255</v>
      </c>
      <c r="AD33" s="407">
        <f t="shared" si="80"/>
        <v>5708769.1093751611</v>
      </c>
      <c r="AE33" s="407">
        <f t="shared" si="80"/>
        <v>-5266307.7509654416</v>
      </c>
      <c r="AF33" s="407">
        <f t="shared" si="80"/>
        <v>5853958.8733678171</v>
      </c>
      <c r="AG33" s="407">
        <f t="shared" si="80"/>
        <v>5927646.6583109442</v>
      </c>
      <c r="AH33" s="407">
        <f t="shared" si="80"/>
        <v>-4838591.0664671035</v>
      </c>
      <c r="AI33" s="407">
        <f t="shared" si="80"/>
        <v>6068708.1331536816</v>
      </c>
      <c r="AJ33" s="407">
        <f t="shared" si="80"/>
        <v>5816839.2677840414</v>
      </c>
      <c r="AK33" s="407">
        <f t="shared" si="80"/>
        <v>-5257746.1353188623</v>
      </c>
      <c r="AL33" s="407">
        <f t="shared" si="80"/>
        <v>5720594.486831177</v>
      </c>
      <c r="AM33" s="407">
        <f t="shared" si="80"/>
        <v>5588714.906807065</v>
      </c>
      <c r="AN33" s="407">
        <f t="shared" si="80"/>
        <v>-5873506.1842253823</v>
      </c>
      <c r="AO33" s="407">
        <f t="shared" si="80"/>
        <v>5780332.6812164653</v>
      </c>
      <c r="AP33" s="407">
        <f t="shared" si="80"/>
        <v>5822944.4915626636</v>
      </c>
      <c r="AQ33" s="407">
        <f t="shared" si="80"/>
        <v>-5062321.2659847504</v>
      </c>
      <c r="AR33" s="407">
        <f t="shared" si="80"/>
        <v>5971038.0508351726</v>
      </c>
      <c r="AS33" s="407">
        <f t="shared" si="80"/>
        <v>6046199.5914771622</v>
      </c>
      <c r="AT33" s="407"/>
      <c r="AW33" s="321"/>
    </row>
    <row r="34" spans="2:49" x14ac:dyDescent="0.2">
      <c r="B34" s="326" t="s">
        <v>333</v>
      </c>
      <c r="D34" s="408">
        <f>+D33</f>
        <v>-56771.988361734897</v>
      </c>
      <c r="E34" s="408">
        <f>+E33+D34</f>
        <v>5390164.5982607426</v>
      </c>
      <c r="F34" s="408">
        <f t="shared" ref="F34:AT34" si="81">+F33+E34</f>
        <v>10877255.245487925</v>
      </c>
      <c r="G34" s="408">
        <f t="shared" si="81"/>
        <v>5209753.6009613564</v>
      </c>
      <c r="H34" s="408">
        <f t="shared" si="81"/>
        <v>10836396.11669359</v>
      </c>
      <c r="I34" s="408">
        <f t="shared" si="81"/>
        <v>16533865.030871738</v>
      </c>
      <c r="J34" s="408">
        <f t="shared" si="81"/>
        <v>11278325.442187479</v>
      </c>
      <c r="K34" s="408">
        <f t="shared" si="81"/>
        <v>17111378.24221985</v>
      </c>
      <c r="L34" s="408">
        <f t="shared" si="81"/>
        <v>22702342.551893093</v>
      </c>
      <c r="M34" s="408">
        <f t="shared" si="81"/>
        <v>17044778.328018755</v>
      </c>
      <c r="N34" s="408">
        <f t="shared" si="81"/>
        <v>22543235.158883017</v>
      </c>
      <c r="O34" s="408">
        <f t="shared" si="81"/>
        <v>27914933.454545327</v>
      </c>
      <c r="P34" s="408">
        <f t="shared" si="81"/>
        <v>21666374.026416354</v>
      </c>
      <c r="Q34" s="408">
        <f t="shared" si="81"/>
        <v>27222249.344771281</v>
      </c>
      <c r="R34" s="408">
        <f t="shared" si="81"/>
        <v>32819081.804943006</v>
      </c>
      <c r="S34" s="408">
        <f t="shared" si="81"/>
        <v>27351062.127525907</v>
      </c>
      <c r="T34" s="408">
        <f t="shared" si="81"/>
        <v>33090237.493572786</v>
      </c>
      <c r="U34" s="408">
        <f t="shared" si="81"/>
        <v>38901655.786034495</v>
      </c>
      <c r="V34" s="408">
        <f t="shared" si="81"/>
        <v>33853397.485576548</v>
      </c>
      <c r="W34" s="408">
        <f t="shared" si="81"/>
        <v>39803111.341609567</v>
      </c>
      <c r="X34" s="408">
        <f t="shared" si="81"/>
        <v>45505894.937476277</v>
      </c>
      <c r="Y34" s="408">
        <f t="shared" si="81"/>
        <v>40047131.589124456</v>
      </c>
      <c r="Z34" s="408">
        <f t="shared" si="81"/>
        <v>45655557.556606002</v>
      </c>
      <c r="AA34" s="408">
        <f t="shared" si="81"/>
        <v>51134689.818181559</v>
      </c>
      <c r="AB34" s="408">
        <f t="shared" si="81"/>
        <v>45072671.441490009</v>
      </c>
      <c r="AC34" s="408">
        <f t="shared" si="81"/>
        <v>50739664.266212031</v>
      </c>
      <c r="AD34" s="408">
        <f t="shared" si="81"/>
        <v>56448433.375587195</v>
      </c>
      <c r="AE34" s="408">
        <f t="shared" si="81"/>
        <v>51182125.624621756</v>
      </c>
      <c r="AF34" s="408">
        <f t="shared" si="81"/>
        <v>57036084.497989573</v>
      </c>
      <c r="AG34" s="408">
        <f t="shared" si="81"/>
        <v>62963731.156300515</v>
      </c>
      <c r="AH34" s="408">
        <f t="shared" si="81"/>
        <v>58125140.089833409</v>
      </c>
      <c r="AI34" s="408">
        <f t="shared" si="81"/>
        <v>64193848.222987093</v>
      </c>
      <c r="AJ34" s="408">
        <f t="shared" si="81"/>
        <v>70010687.49077113</v>
      </c>
      <c r="AK34" s="408">
        <f t="shared" si="81"/>
        <v>64752941.355452269</v>
      </c>
      <c r="AL34" s="408">
        <f t="shared" si="81"/>
        <v>70473535.842283443</v>
      </c>
      <c r="AM34" s="408">
        <f t="shared" si="81"/>
        <v>76062250.749090508</v>
      </c>
      <c r="AN34" s="408">
        <f t="shared" si="81"/>
        <v>70188744.564865127</v>
      </c>
      <c r="AO34" s="408">
        <f t="shared" si="81"/>
        <v>75969077.246081591</v>
      </c>
      <c r="AP34" s="408">
        <f t="shared" si="81"/>
        <v>81792021.737644255</v>
      </c>
      <c r="AQ34" s="408">
        <f t="shared" si="81"/>
        <v>76729700.471659511</v>
      </c>
      <c r="AR34" s="408">
        <f t="shared" si="81"/>
        <v>82700738.522494689</v>
      </c>
      <c r="AS34" s="408">
        <f t="shared" si="81"/>
        <v>88746938.113971844</v>
      </c>
      <c r="AT34" s="408">
        <f t="shared" si="81"/>
        <v>88746938.113971844</v>
      </c>
      <c r="AW34" s="321"/>
    </row>
    <row r="35" spans="2:49" x14ac:dyDescent="0.2">
      <c r="AW35" s="321"/>
    </row>
    <row r="36" spans="2:49" x14ac:dyDescent="0.2">
      <c r="AW36" s="321"/>
    </row>
    <row r="37" spans="2:49" x14ac:dyDescent="0.2">
      <c r="AW37" s="321"/>
    </row>
    <row r="38" spans="2:49" x14ac:dyDescent="0.2">
      <c r="AW38" s="321"/>
    </row>
    <row r="39" spans="2:49" x14ac:dyDescent="0.2">
      <c r="AW39" s="321"/>
    </row>
    <row r="40" spans="2:49" x14ac:dyDescent="0.2">
      <c r="AW40" s="321"/>
    </row>
    <row r="41" spans="2:49" x14ac:dyDescent="0.2">
      <c r="AW41" s="321"/>
    </row>
    <row r="42" spans="2:49" x14ac:dyDescent="0.2">
      <c r="AW42" s="3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F80A-E518-447F-BECD-36A78984795F}">
  <dimension ref="A1:AC997"/>
  <sheetViews>
    <sheetView workbookViewId="0">
      <selection activeCell="J15" sqref="J15"/>
    </sheetView>
  </sheetViews>
  <sheetFormatPr defaultColWidth="8.85546875" defaultRowHeight="11.25" outlineLevelRow="1" x14ac:dyDescent="0.2"/>
  <cols>
    <col min="1" max="1" width="8.85546875" style="301"/>
    <col min="2" max="2" width="21.5703125" style="236" bestFit="1" customWidth="1"/>
    <col min="3" max="3" width="12.85546875" style="304" customWidth="1"/>
    <col min="4" max="4" width="8.140625" style="304" customWidth="1"/>
    <col min="5" max="5" width="16.85546875" style="230" customWidth="1"/>
    <col min="6" max="6" width="7.85546875" style="230" customWidth="1"/>
    <col min="7" max="7" width="30.140625" style="230" bestFit="1" customWidth="1"/>
    <col min="8" max="8" width="8.85546875" style="231"/>
    <col min="9" max="9" width="12.140625" style="231" customWidth="1"/>
    <col min="10" max="10" width="11.140625" style="231" customWidth="1"/>
    <col min="11" max="11" width="2.5703125" style="231" customWidth="1"/>
    <col min="12" max="12" width="12.85546875" style="232" customWidth="1"/>
    <col min="13" max="13" width="2.5703125" style="231" customWidth="1"/>
    <col min="14" max="14" width="12.85546875" style="232" customWidth="1"/>
    <col min="15" max="15" width="5.85546875" style="228" bestFit="1" customWidth="1"/>
    <col min="16" max="16" width="5.140625" style="228" customWidth="1"/>
    <col min="17" max="17" width="11.5703125" style="228" customWidth="1"/>
    <col min="18" max="18" width="5.5703125" style="228" customWidth="1"/>
    <col min="19" max="19" width="6.5703125" style="228" bestFit="1" customWidth="1"/>
    <col min="20" max="20" width="23.140625" style="228" bestFit="1" customWidth="1"/>
    <col min="21" max="21" width="7.42578125" style="228" customWidth="1"/>
    <col min="22" max="22" width="7.140625" style="228" customWidth="1"/>
    <col min="23" max="23" width="11.140625" style="228" customWidth="1"/>
    <col min="24" max="24" width="19.140625" style="228" customWidth="1"/>
    <col min="25" max="16384" width="8.85546875" style="228"/>
  </cols>
  <sheetData>
    <row r="1" spans="1:14" x14ac:dyDescent="0.2">
      <c r="A1" s="228"/>
      <c r="B1" s="229"/>
      <c r="C1" s="230"/>
      <c r="D1" s="230"/>
    </row>
    <row r="2" spans="1:14" s="229" customFormat="1" x14ac:dyDescent="0.2">
      <c r="B2" s="233" t="s">
        <v>76</v>
      </c>
      <c r="C2" s="233"/>
      <c r="D2" s="234"/>
      <c r="E2" s="233"/>
      <c r="F2" s="230"/>
      <c r="G2" s="233" t="s">
        <v>228</v>
      </c>
      <c r="H2" s="235" t="s">
        <v>229</v>
      </c>
      <c r="L2" s="231"/>
      <c r="N2" s="231"/>
    </row>
    <row r="3" spans="1:14" s="229" customFormat="1" x14ac:dyDescent="0.2">
      <c r="B3" s="236" t="s">
        <v>230</v>
      </c>
      <c r="C3" s="237"/>
      <c r="D3" s="237"/>
      <c r="E3" s="238" t="s">
        <v>226</v>
      </c>
      <c r="F3" s="230"/>
      <c r="G3" s="239" t="s">
        <v>231</v>
      </c>
      <c r="H3" s="240">
        <v>2950</v>
      </c>
      <c r="L3" s="231"/>
      <c r="N3" s="231"/>
    </row>
    <row r="4" spans="1:14" s="229" customFormat="1" x14ac:dyDescent="0.2">
      <c r="B4" s="236" t="s">
        <v>81</v>
      </c>
      <c r="C4" s="237"/>
      <c r="D4" s="237"/>
      <c r="E4" s="238" t="s">
        <v>232</v>
      </c>
      <c r="F4" s="230"/>
      <c r="G4" s="229" t="s">
        <v>268</v>
      </c>
      <c r="H4" s="229">
        <v>200</v>
      </c>
      <c r="L4" s="241"/>
      <c r="N4" s="241"/>
    </row>
    <row r="5" spans="1:14" s="229" customFormat="1" x14ac:dyDescent="0.2">
      <c r="B5" s="236" t="s">
        <v>234</v>
      </c>
      <c r="C5" s="237"/>
      <c r="D5" s="237"/>
      <c r="E5" s="238" t="s">
        <v>235</v>
      </c>
      <c r="F5" s="230"/>
      <c r="G5" s="229" t="s">
        <v>278</v>
      </c>
      <c r="H5" s="240">
        <f>H450</f>
        <v>3000</v>
      </c>
      <c r="L5" s="241"/>
      <c r="N5" s="241"/>
    </row>
    <row r="6" spans="1:14" s="229" customFormat="1" x14ac:dyDescent="0.2">
      <c r="B6" s="236" t="s">
        <v>237</v>
      </c>
      <c r="C6" s="237"/>
      <c r="D6" s="237"/>
      <c r="E6" s="238" t="s">
        <v>238</v>
      </c>
      <c r="F6" s="230"/>
      <c r="G6" s="229" t="s">
        <v>233</v>
      </c>
      <c r="H6" s="240">
        <v>1500</v>
      </c>
      <c r="I6" s="231"/>
      <c r="J6" s="231"/>
      <c r="K6" s="231"/>
      <c r="L6" s="241"/>
      <c r="M6" s="231"/>
      <c r="N6" s="241"/>
    </row>
    <row r="7" spans="1:14" s="229" customFormat="1" x14ac:dyDescent="0.2">
      <c r="B7" s="236" t="s">
        <v>240</v>
      </c>
      <c r="C7" s="237"/>
      <c r="D7" s="237"/>
      <c r="E7" s="238" t="s">
        <v>241</v>
      </c>
      <c r="F7" s="230"/>
      <c r="G7" s="229" t="s">
        <v>236</v>
      </c>
      <c r="H7" s="240">
        <v>750</v>
      </c>
      <c r="I7" s="231"/>
      <c r="J7" s="231"/>
      <c r="K7" s="231"/>
      <c r="L7" s="241"/>
      <c r="M7" s="231"/>
      <c r="N7" s="241"/>
    </row>
    <row r="8" spans="1:14" s="229" customFormat="1" x14ac:dyDescent="0.2">
      <c r="B8" s="236" t="s">
        <v>243</v>
      </c>
      <c r="C8" s="237"/>
      <c r="D8" s="237"/>
      <c r="E8" s="242" t="s">
        <v>272</v>
      </c>
      <c r="F8" s="230"/>
      <c r="G8" s="239" t="s">
        <v>239</v>
      </c>
      <c r="H8" s="240">
        <f>+H28</f>
        <v>3563.4697272732169</v>
      </c>
      <c r="I8" s="231"/>
      <c r="J8" s="231"/>
      <c r="K8" s="231"/>
      <c r="L8" s="241"/>
      <c r="M8" s="231"/>
      <c r="N8" s="241"/>
    </row>
    <row r="9" spans="1:14" s="229" customFormat="1" x14ac:dyDescent="0.2">
      <c r="B9" s="243" t="s">
        <v>245</v>
      </c>
      <c r="C9" s="244"/>
      <c r="D9" s="244"/>
      <c r="E9" s="245" t="s">
        <v>273</v>
      </c>
      <c r="F9" s="230"/>
      <c r="G9" s="229" t="s">
        <v>269</v>
      </c>
      <c r="H9" s="240">
        <f>(J28+L28)/E16</f>
        <v>3763.4697272732169</v>
      </c>
      <c r="I9" s="231"/>
      <c r="J9" s="231"/>
      <c r="K9" s="231"/>
      <c r="L9" s="241"/>
      <c r="M9" s="231"/>
      <c r="N9" s="241"/>
    </row>
    <row r="10" spans="1:14" x14ac:dyDescent="0.2">
      <c r="A10" s="228"/>
      <c r="B10" s="229"/>
      <c r="C10" s="230"/>
      <c r="D10" s="230"/>
      <c r="G10" s="246" t="s">
        <v>242</v>
      </c>
      <c r="H10" s="247">
        <f>+H8/H3</f>
        <v>1.2079558397536327</v>
      </c>
      <c r="L10" s="248"/>
      <c r="N10" s="248"/>
    </row>
    <row r="11" spans="1:14" x14ac:dyDescent="0.2">
      <c r="A11" s="249"/>
      <c r="B11" s="233" t="s">
        <v>247</v>
      </c>
      <c r="C11" s="235"/>
      <c r="D11" s="250"/>
      <c r="E11" s="235"/>
      <c r="F11" s="251"/>
      <c r="I11" s="252"/>
      <c r="J11" s="253"/>
      <c r="K11" s="253"/>
      <c r="M11" s="253"/>
    </row>
    <row r="12" spans="1:14" x14ac:dyDescent="0.2">
      <c r="A12" s="249"/>
      <c r="B12" s="254" t="s">
        <v>248</v>
      </c>
      <c r="C12" s="255"/>
      <c r="D12" s="256"/>
      <c r="E12" s="257">
        <f>F28/C28</f>
        <v>44.322946859903375</v>
      </c>
      <c r="F12" s="251"/>
      <c r="G12" s="251"/>
      <c r="H12" s="251"/>
      <c r="I12" s="252"/>
      <c r="J12" s="228"/>
      <c r="K12" s="228"/>
      <c r="M12" s="228"/>
    </row>
    <row r="13" spans="1:14" x14ac:dyDescent="0.2">
      <c r="A13" s="249"/>
      <c r="B13" s="254" t="s">
        <v>249</v>
      </c>
      <c r="C13" s="255"/>
      <c r="D13" s="256"/>
      <c r="E13" s="257">
        <f>+E15/E14</f>
        <v>2.0676328502415457</v>
      </c>
      <c r="F13" s="251"/>
      <c r="G13" s="251"/>
      <c r="H13" s="251"/>
      <c r="I13" s="252"/>
      <c r="J13" s="228"/>
      <c r="K13" s="228"/>
      <c r="L13" s="258"/>
      <c r="M13" s="228"/>
    </row>
    <row r="14" spans="1:14" x14ac:dyDescent="0.2">
      <c r="A14" s="249"/>
      <c r="B14" s="254" t="s">
        <v>250</v>
      </c>
      <c r="C14" s="255"/>
      <c r="D14" s="256"/>
      <c r="E14" s="259">
        <f>+C28</f>
        <v>414</v>
      </c>
      <c r="F14" s="251"/>
      <c r="G14" s="251"/>
      <c r="H14" s="251"/>
      <c r="I14" s="252"/>
      <c r="J14" s="299">
        <f>J28+L28+N28</f>
        <v>71623540.454545334</v>
      </c>
      <c r="K14" s="228"/>
      <c r="M14" s="228"/>
    </row>
    <row r="15" spans="1:14" x14ac:dyDescent="0.2">
      <c r="A15" s="249"/>
      <c r="B15" s="254" t="s">
        <v>251</v>
      </c>
      <c r="C15" s="255"/>
      <c r="D15" s="256"/>
      <c r="E15" s="259">
        <f>+SUMPRODUCT(O37:O41,R37:R41)</f>
        <v>856</v>
      </c>
      <c r="F15" s="251"/>
      <c r="G15" s="251"/>
      <c r="H15" s="251"/>
      <c r="I15" s="252"/>
      <c r="J15" s="228"/>
      <c r="K15" s="228"/>
      <c r="M15" s="228"/>
    </row>
    <row r="16" spans="1:14" x14ac:dyDescent="0.2">
      <c r="A16" s="249"/>
      <c r="B16" s="254" t="s">
        <v>279</v>
      </c>
      <c r="C16" s="255"/>
      <c r="D16" s="256"/>
      <c r="E16" s="259">
        <f>F28</f>
        <v>18349.699999999997</v>
      </c>
      <c r="F16" s="251"/>
      <c r="G16" s="251"/>
      <c r="H16" s="251"/>
      <c r="I16" s="252"/>
      <c r="J16" s="228"/>
      <c r="K16" s="228"/>
      <c r="M16" s="228"/>
    </row>
    <row r="17" spans="1:25" x14ac:dyDescent="0.2">
      <c r="A17" s="249"/>
      <c r="B17" s="254" t="s">
        <v>280</v>
      </c>
      <c r="C17" s="255"/>
      <c r="D17" s="256"/>
      <c r="E17" s="259">
        <f>F450</f>
        <v>505</v>
      </c>
      <c r="F17" s="251"/>
      <c r="G17" s="313"/>
      <c r="H17" s="251"/>
      <c r="I17" s="252"/>
      <c r="J17" s="228"/>
      <c r="K17" s="228"/>
      <c r="M17" s="228"/>
    </row>
    <row r="18" spans="1:25" x14ac:dyDescent="0.2">
      <c r="A18" s="249"/>
      <c r="B18" s="254" t="s">
        <v>281</v>
      </c>
      <c r="C18" s="255"/>
      <c r="D18" s="256"/>
      <c r="E18" s="259">
        <f>E16+E17</f>
        <v>18854.699999999997</v>
      </c>
      <c r="F18" s="251"/>
      <c r="G18" s="251"/>
      <c r="H18" s="251"/>
      <c r="I18" s="252"/>
      <c r="J18" s="228"/>
      <c r="K18" s="228"/>
      <c r="M18" s="228"/>
    </row>
    <row r="19" spans="1:25" x14ac:dyDescent="0.2">
      <c r="A19" s="228"/>
      <c r="B19" s="254" t="s">
        <v>282</v>
      </c>
      <c r="C19" s="255"/>
      <c r="D19" s="256"/>
      <c r="E19" s="259">
        <v>23285</v>
      </c>
      <c r="F19" s="260"/>
      <c r="G19" s="260"/>
      <c r="H19" s="260"/>
      <c r="O19" s="249"/>
      <c r="T19" s="229"/>
    </row>
    <row r="20" spans="1:25" x14ac:dyDescent="0.2">
      <c r="A20" s="228"/>
      <c r="B20" s="254" t="s">
        <v>283</v>
      </c>
      <c r="C20" s="255"/>
      <c r="D20" s="256"/>
      <c r="E20" s="259">
        <v>574</v>
      </c>
      <c r="F20" s="260"/>
      <c r="G20" s="260"/>
      <c r="H20" s="260"/>
      <c r="O20" s="249"/>
      <c r="T20" s="229"/>
    </row>
    <row r="21" spans="1:25" outlineLevel="1" x14ac:dyDescent="0.2">
      <c r="A21" s="228"/>
      <c r="B21" s="254" t="s">
        <v>284</v>
      </c>
      <c r="C21" s="237"/>
      <c r="D21" s="237"/>
      <c r="E21" s="259">
        <f>E19+E20</f>
        <v>23859</v>
      </c>
      <c r="F21" s="260"/>
      <c r="G21" s="260"/>
      <c r="H21" s="260"/>
      <c r="O21" s="249"/>
      <c r="T21" s="229"/>
    </row>
    <row r="22" spans="1:25" s="229" customFormat="1" x14ac:dyDescent="0.2">
      <c r="B22" s="262" t="s">
        <v>253</v>
      </c>
      <c r="C22" s="262"/>
      <c r="D22" s="262"/>
      <c r="E22" s="263">
        <f>E18/E21</f>
        <v>0.79025524959134907</v>
      </c>
      <c r="F22" s="260"/>
      <c r="G22" s="260"/>
      <c r="H22" s="260"/>
      <c r="I22" s="231"/>
      <c r="J22" s="228"/>
      <c r="K22" s="228"/>
      <c r="L22" s="231"/>
      <c r="M22" s="228"/>
      <c r="N22" s="231"/>
      <c r="O22" s="264"/>
    </row>
    <row r="23" spans="1:25" x14ac:dyDescent="0.2">
      <c r="A23" s="228"/>
      <c r="B23" s="229"/>
      <c r="C23" s="230"/>
      <c r="D23" s="230"/>
      <c r="G23" s="265"/>
      <c r="H23" s="260"/>
      <c r="J23" s="228"/>
      <c r="K23" s="228"/>
      <c r="M23" s="228"/>
      <c r="O23" s="249"/>
      <c r="T23" s="229"/>
    </row>
    <row r="24" spans="1:25" x14ac:dyDescent="0.2">
      <c r="A24" s="228"/>
      <c r="B24" s="229"/>
      <c r="C24" s="230"/>
      <c r="D24" s="230"/>
      <c r="E24" s="266"/>
      <c r="F24" s="265"/>
      <c r="G24" s="260"/>
      <c r="O24" s="249"/>
      <c r="T24" s="229"/>
    </row>
    <row r="25" spans="1:25" x14ac:dyDescent="0.2">
      <c r="A25" s="228"/>
      <c r="B25" s="229"/>
      <c r="C25" s="230"/>
      <c r="D25" s="230"/>
      <c r="F25" s="265"/>
      <c r="G25" s="260"/>
      <c r="O25" s="249"/>
      <c r="T25" s="229"/>
    </row>
    <row r="26" spans="1:25" x14ac:dyDescent="0.2">
      <c r="A26" s="228"/>
      <c r="B26" s="233" t="s">
        <v>254</v>
      </c>
      <c r="C26" s="405" t="s">
        <v>255</v>
      </c>
      <c r="D26" s="405"/>
      <c r="E26" s="405"/>
      <c r="F26" s="405"/>
      <c r="G26" s="405"/>
      <c r="H26" s="405"/>
      <c r="I26" s="405"/>
      <c r="J26" s="405"/>
      <c r="K26" s="268"/>
      <c r="L26" s="267" t="s">
        <v>270</v>
      </c>
      <c r="M26" s="268"/>
      <c r="N26" s="267" t="s">
        <v>256</v>
      </c>
      <c r="T26" s="229"/>
      <c r="U26" s="269"/>
      <c r="V26" s="269"/>
      <c r="W26" s="269"/>
      <c r="X26" s="269"/>
      <c r="Y26" s="269"/>
    </row>
    <row r="27" spans="1:25" s="270" customFormat="1" ht="22.5" x14ac:dyDescent="0.2">
      <c r="B27" s="271"/>
      <c r="C27" s="271" t="s">
        <v>257</v>
      </c>
      <c r="D27" s="272" t="s">
        <v>258</v>
      </c>
      <c r="E27" s="271" t="s">
        <v>259</v>
      </c>
      <c r="F27" s="271" t="s">
        <v>260</v>
      </c>
      <c r="G27" s="273" t="s">
        <v>261</v>
      </c>
      <c r="H27" s="271" t="s">
        <v>262</v>
      </c>
      <c r="I27" s="271" t="s">
        <v>263</v>
      </c>
      <c r="J27" s="273" t="s">
        <v>264</v>
      </c>
      <c r="K27" s="273"/>
      <c r="L27" s="273" t="s">
        <v>271</v>
      </c>
      <c r="M27" s="273"/>
      <c r="N27" s="273" t="s">
        <v>265</v>
      </c>
      <c r="P27" s="228"/>
      <c r="Q27" s="228"/>
      <c r="R27" s="228"/>
      <c r="S27" s="228"/>
      <c r="T27" s="229"/>
      <c r="U27" s="228"/>
      <c r="V27" s="228"/>
      <c r="W27" s="228"/>
      <c r="X27" s="228"/>
      <c r="Y27" s="228"/>
    </row>
    <row r="28" spans="1:25" ht="12" thickBot="1" x14ac:dyDescent="0.25">
      <c r="A28" s="228"/>
      <c r="B28" s="274"/>
      <c r="C28" s="275">
        <f>+SUM(C29:C443)</f>
        <v>414</v>
      </c>
      <c r="D28" s="276"/>
      <c r="E28" s="231"/>
      <c r="F28" s="275">
        <f>+SUM(F29:F443)</f>
        <v>18349.699999999997</v>
      </c>
      <c r="G28" s="275"/>
      <c r="H28" s="275">
        <f>+J28/F28</f>
        <v>3563.4697272732169</v>
      </c>
      <c r="I28" s="275">
        <f>+SUM(I29:I443)</f>
        <v>5449050.0378787853</v>
      </c>
      <c r="J28" s="275">
        <f>+SUM(J29:J443)</f>
        <v>65388600.454545334</v>
      </c>
      <c r="K28" s="275"/>
      <c r="L28" s="277">
        <f>SUM(L29:L443)</f>
        <v>3669940</v>
      </c>
      <c r="M28" s="275"/>
      <c r="N28" s="277">
        <f>SUM(N29:N428)</f>
        <v>2565000</v>
      </c>
      <c r="T28" s="269"/>
      <c r="U28" s="269"/>
      <c r="V28" s="269"/>
      <c r="W28" s="269"/>
      <c r="X28" s="269"/>
      <c r="Y28" s="269"/>
    </row>
    <row r="29" spans="1:25" ht="12" thickTop="1" x14ac:dyDescent="0.2">
      <c r="A29" s="228"/>
      <c r="B29" s="278"/>
      <c r="C29" s="279">
        <v>1</v>
      </c>
      <c r="D29" s="280"/>
      <c r="E29" s="279">
        <v>2</v>
      </c>
      <c r="F29" s="279">
        <v>32.9</v>
      </c>
      <c r="G29" s="279">
        <f t="shared" ref="G29:G92" si="0">IF(E29=1,34,IF(E29=2,40,IF(E29=3,44,IF(E29=4,49,IF(E29=5,52,IF(E29=6,55,IF(E29=1.5,27,IF(E29=2.5,34))))))))</f>
        <v>40</v>
      </c>
      <c r="H29" s="279">
        <f t="shared" ref="H29:H92" si="1">+$H$3*(F29+G29)/(1.57142857142857)/F29</f>
        <v>4159.6711798839506</v>
      </c>
      <c r="I29" s="279">
        <f t="shared" ref="I29:I92" si="2">+F29*H29/12</f>
        <v>11404.431818181831</v>
      </c>
      <c r="J29" s="279">
        <f>+I29*12</f>
        <v>136853.18181818197</v>
      </c>
      <c r="K29" s="279"/>
      <c r="L29" s="240">
        <f>F29*$H$4</f>
        <v>6580</v>
      </c>
      <c r="M29" s="279"/>
      <c r="N29" s="240">
        <f t="shared" ref="N29:N60" si="3">$H$6*12</f>
        <v>18000</v>
      </c>
      <c r="T29" s="269"/>
      <c r="U29" s="269"/>
      <c r="V29" s="269"/>
      <c r="W29" s="269"/>
      <c r="X29" s="269"/>
      <c r="Y29" s="269"/>
    </row>
    <row r="30" spans="1:25" x14ac:dyDescent="0.2">
      <c r="A30" s="228"/>
      <c r="B30" s="281"/>
      <c r="C30" s="282">
        <v>1</v>
      </c>
      <c r="D30" s="283"/>
      <c r="E30" s="282">
        <v>3</v>
      </c>
      <c r="F30" s="282">
        <v>63.9</v>
      </c>
      <c r="G30" s="282">
        <f t="shared" si="0"/>
        <v>44</v>
      </c>
      <c r="H30" s="282">
        <f t="shared" si="1"/>
        <v>3169.91748470622</v>
      </c>
      <c r="I30" s="282">
        <f t="shared" si="2"/>
        <v>16879.810606060619</v>
      </c>
      <c r="J30" s="282">
        <f t="shared" ref="J30:J93" si="4">+I30*12</f>
        <v>202557.72727272741</v>
      </c>
      <c r="K30" s="282"/>
      <c r="L30" s="240">
        <f t="shared" ref="L30:L93" si="5">F30*$H$4</f>
        <v>12780</v>
      </c>
      <c r="M30" s="282"/>
      <c r="N30" s="240">
        <f t="shared" si="3"/>
        <v>18000</v>
      </c>
      <c r="T30" s="269"/>
      <c r="U30" s="269"/>
      <c r="V30" s="269"/>
      <c r="W30" s="269"/>
      <c r="X30" s="269"/>
      <c r="Y30" s="269"/>
    </row>
    <row r="31" spans="1:25" x14ac:dyDescent="0.2">
      <c r="A31" s="228"/>
      <c r="B31" s="281"/>
      <c r="C31" s="282">
        <v>1</v>
      </c>
      <c r="D31" s="283"/>
      <c r="E31" s="282">
        <v>2</v>
      </c>
      <c r="F31" s="282">
        <v>32.9</v>
      </c>
      <c r="G31" s="282">
        <f t="shared" si="0"/>
        <v>40</v>
      </c>
      <c r="H31" s="282">
        <f t="shared" si="1"/>
        <v>4159.6711798839506</v>
      </c>
      <c r="I31" s="282">
        <f t="shared" si="2"/>
        <v>11404.431818181831</v>
      </c>
      <c r="J31" s="282">
        <f t="shared" si="4"/>
        <v>136853.18181818197</v>
      </c>
      <c r="K31" s="282"/>
      <c r="L31" s="240">
        <f t="shared" si="5"/>
        <v>6580</v>
      </c>
      <c r="M31" s="282"/>
      <c r="N31" s="240">
        <f t="shared" si="3"/>
        <v>18000</v>
      </c>
      <c r="T31" s="269"/>
      <c r="U31" s="269"/>
      <c r="V31" s="269"/>
      <c r="W31" s="269"/>
      <c r="X31" s="269"/>
      <c r="Y31" s="269"/>
    </row>
    <row r="32" spans="1:25" x14ac:dyDescent="0.2">
      <c r="A32" s="228"/>
      <c r="B32" s="281"/>
      <c r="C32" s="282">
        <v>1</v>
      </c>
      <c r="D32" s="283"/>
      <c r="E32" s="282">
        <v>3</v>
      </c>
      <c r="F32" s="282">
        <v>66.900000000000006</v>
      </c>
      <c r="G32" s="282">
        <f t="shared" si="0"/>
        <v>44</v>
      </c>
      <c r="H32" s="282">
        <f t="shared" si="1"/>
        <v>3111.9513520858836</v>
      </c>
      <c r="I32" s="282">
        <f t="shared" si="2"/>
        <v>17349.128787878803</v>
      </c>
      <c r="J32" s="282">
        <f t="shared" si="4"/>
        <v>208189.54545454565</v>
      </c>
      <c r="K32" s="282"/>
      <c r="L32" s="240">
        <f t="shared" si="5"/>
        <v>13380.000000000002</v>
      </c>
      <c r="M32" s="282"/>
      <c r="N32" s="240">
        <f t="shared" si="3"/>
        <v>18000</v>
      </c>
      <c r="P32" s="284"/>
      <c r="Q32" s="285"/>
      <c r="R32" s="285"/>
      <c r="S32" s="285"/>
      <c r="T32" s="269"/>
      <c r="U32" s="269"/>
      <c r="V32" s="269"/>
      <c r="W32" s="269"/>
      <c r="X32" s="269"/>
      <c r="Y32" s="269"/>
    </row>
    <row r="33" spans="1:29" x14ac:dyDescent="0.2">
      <c r="A33" s="228"/>
      <c r="B33" s="281"/>
      <c r="C33" s="282">
        <v>1</v>
      </c>
      <c r="D33" s="283"/>
      <c r="E33" s="282">
        <v>4</v>
      </c>
      <c r="F33" s="282">
        <v>82.9</v>
      </c>
      <c r="G33" s="282">
        <f t="shared" si="0"/>
        <v>49</v>
      </c>
      <c r="H33" s="282">
        <f t="shared" si="1"/>
        <v>2986.8790437548</v>
      </c>
      <c r="I33" s="282">
        <f t="shared" si="2"/>
        <v>20634.356060606078</v>
      </c>
      <c r="J33" s="282">
        <f t="shared" si="4"/>
        <v>247612.27272727294</v>
      </c>
      <c r="K33" s="282"/>
      <c r="L33" s="240">
        <f t="shared" si="5"/>
        <v>16580</v>
      </c>
      <c r="M33" s="282"/>
      <c r="N33" s="240">
        <f t="shared" si="3"/>
        <v>18000</v>
      </c>
      <c r="P33" s="284"/>
      <c r="Q33" s="285"/>
      <c r="R33" s="285"/>
      <c r="S33" s="285"/>
      <c r="T33" s="269"/>
      <c r="U33" s="269"/>
      <c r="V33" s="269"/>
      <c r="W33" s="269"/>
      <c r="X33" s="269"/>
      <c r="Y33" s="269"/>
    </row>
    <row r="34" spans="1:29" x14ac:dyDescent="0.2">
      <c r="A34" s="228"/>
      <c r="B34" s="281"/>
      <c r="C34" s="282">
        <v>1</v>
      </c>
      <c r="D34" s="283"/>
      <c r="E34" s="282">
        <v>2</v>
      </c>
      <c r="F34" s="282">
        <v>32.9</v>
      </c>
      <c r="G34" s="282">
        <f t="shared" si="0"/>
        <v>40</v>
      </c>
      <c r="H34" s="282">
        <f t="shared" si="1"/>
        <v>4159.6711798839506</v>
      </c>
      <c r="I34" s="282">
        <f t="shared" si="2"/>
        <v>11404.431818181831</v>
      </c>
      <c r="J34" s="282">
        <f t="shared" si="4"/>
        <v>136853.18181818197</v>
      </c>
      <c r="K34" s="282"/>
      <c r="L34" s="240">
        <f t="shared" si="5"/>
        <v>6580</v>
      </c>
      <c r="M34" s="282"/>
      <c r="N34" s="240">
        <f t="shared" si="3"/>
        <v>18000</v>
      </c>
      <c r="P34" s="286"/>
      <c r="Q34" s="286"/>
      <c r="R34" s="235"/>
      <c r="S34" s="235"/>
      <c r="T34" s="269"/>
      <c r="U34" s="269"/>
      <c r="V34" s="269"/>
      <c r="W34" s="269"/>
      <c r="X34" s="269"/>
      <c r="Y34" s="269"/>
    </row>
    <row r="35" spans="1:29" ht="9" customHeight="1" x14ac:dyDescent="0.2">
      <c r="A35" s="228"/>
      <c r="B35" s="281"/>
      <c r="C35" s="282">
        <v>1</v>
      </c>
      <c r="D35" s="283"/>
      <c r="E35" s="282">
        <v>3</v>
      </c>
      <c r="F35" s="282">
        <v>66.900000000000006</v>
      </c>
      <c r="G35" s="282">
        <f t="shared" si="0"/>
        <v>44</v>
      </c>
      <c r="H35" s="282">
        <f t="shared" si="1"/>
        <v>3111.9513520858836</v>
      </c>
      <c r="I35" s="282">
        <f t="shared" si="2"/>
        <v>17349.128787878803</v>
      </c>
      <c r="J35" s="282">
        <f t="shared" si="4"/>
        <v>208189.54545454565</v>
      </c>
      <c r="K35" s="282"/>
      <c r="L35" s="240">
        <f t="shared" si="5"/>
        <v>13380.000000000002</v>
      </c>
      <c r="M35" s="282"/>
      <c r="N35" s="240">
        <f t="shared" si="3"/>
        <v>18000</v>
      </c>
      <c r="P35" s="287" t="s">
        <v>266</v>
      </c>
      <c r="Q35" s="288" t="s">
        <v>248</v>
      </c>
      <c r="R35" s="288" t="s">
        <v>257</v>
      </c>
      <c r="S35" s="289" t="s">
        <v>267</v>
      </c>
      <c r="T35" s="269"/>
      <c r="U35" s="269"/>
      <c r="V35" s="269"/>
      <c r="W35" s="269"/>
      <c r="X35" s="269"/>
      <c r="Y35" s="269"/>
    </row>
    <row r="36" spans="1:29" ht="12" thickBot="1" x14ac:dyDescent="0.25">
      <c r="A36" s="228"/>
      <c r="B36" s="281"/>
      <c r="C36" s="282">
        <v>1</v>
      </c>
      <c r="D36" s="283"/>
      <c r="E36" s="282">
        <v>4</v>
      </c>
      <c r="F36" s="282">
        <v>82.9</v>
      </c>
      <c r="G36" s="282">
        <f t="shared" si="0"/>
        <v>49</v>
      </c>
      <c r="H36" s="282">
        <f t="shared" si="1"/>
        <v>2986.8790437548</v>
      </c>
      <c r="I36" s="282">
        <f t="shared" si="2"/>
        <v>20634.356060606078</v>
      </c>
      <c r="J36" s="282">
        <f t="shared" si="4"/>
        <v>247612.27272727294</v>
      </c>
      <c r="K36" s="282"/>
      <c r="L36" s="240">
        <f t="shared" si="5"/>
        <v>16580</v>
      </c>
      <c r="M36" s="282"/>
      <c r="N36" s="240">
        <f t="shared" si="3"/>
        <v>18000</v>
      </c>
      <c r="P36" s="290"/>
      <c r="Q36" s="291">
        <f>+F28/R36</f>
        <v>44.322946859903375</v>
      </c>
      <c r="R36" s="291">
        <f>+SUM(R37:R41)</f>
        <v>414</v>
      </c>
      <c r="S36" s="292">
        <f>+SUM(S37:S41)</f>
        <v>1</v>
      </c>
      <c r="T36" s="269"/>
    </row>
    <row r="37" spans="1:29" ht="12" thickTop="1" x14ac:dyDescent="0.2">
      <c r="A37" s="228"/>
      <c r="B37" s="281"/>
      <c r="C37" s="282">
        <v>1</v>
      </c>
      <c r="D37" s="283"/>
      <c r="E37" s="282">
        <v>2</v>
      </c>
      <c r="F37" s="282">
        <v>32.9</v>
      </c>
      <c r="G37" s="282">
        <f t="shared" si="0"/>
        <v>40</v>
      </c>
      <c r="H37" s="282">
        <f t="shared" si="1"/>
        <v>4159.6711798839506</v>
      </c>
      <c r="I37" s="282">
        <f t="shared" si="2"/>
        <v>11404.431818181831</v>
      </c>
      <c r="J37" s="282">
        <f t="shared" si="4"/>
        <v>136853.18181818197</v>
      </c>
      <c r="K37" s="282"/>
      <c r="L37" s="240">
        <f t="shared" si="5"/>
        <v>6580</v>
      </c>
      <c r="M37" s="282"/>
      <c r="N37" s="240">
        <f t="shared" si="3"/>
        <v>18000</v>
      </c>
      <c r="O37" s="228">
        <v>1</v>
      </c>
      <c r="P37" s="293">
        <v>1</v>
      </c>
      <c r="Q37" s="294">
        <f>IFERROR(SUMIF($E$29:$E$443,$O37,$F$29:$F$443)/R37,"")</f>
        <v>29.605882352941197</v>
      </c>
      <c r="R37" s="261">
        <f>IFERROR(SUMIF($E$29:$E$443,$O37,$C$29:$C$443),"")</f>
        <v>119</v>
      </c>
      <c r="S37" s="295">
        <f>+R37/$R$36</f>
        <v>0.28743961352657005</v>
      </c>
    </row>
    <row r="38" spans="1:29" x14ac:dyDescent="0.2">
      <c r="A38" s="228"/>
      <c r="B38" s="281"/>
      <c r="C38" s="282">
        <v>1</v>
      </c>
      <c r="D38" s="283"/>
      <c r="E38" s="282">
        <v>3</v>
      </c>
      <c r="F38" s="282">
        <v>66.900000000000006</v>
      </c>
      <c r="G38" s="282">
        <f t="shared" si="0"/>
        <v>44</v>
      </c>
      <c r="H38" s="282">
        <f t="shared" si="1"/>
        <v>3111.9513520858836</v>
      </c>
      <c r="I38" s="282">
        <f t="shared" si="2"/>
        <v>17349.128787878803</v>
      </c>
      <c r="J38" s="282">
        <f t="shared" si="4"/>
        <v>208189.54545454565</v>
      </c>
      <c r="K38" s="282"/>
      <c r="L38" s="240">
        <f t="shared" si="5"/>
        <v>13380.000000000002</v>
      </c>
      <c r="M38" s="282"/>
      <c r="N38" s="240">
        <f t="shared" si="3"/>
        <v>18000</v>
      </c>
      <c r="O38" s="228">
        <v>2</v>
      </c>
      <c r="P38" s="293">
        <v>2</v>
      </c>
      <c r="Q38" s="294">
        <f>IFERROR(SUMIF($E$29:$E$443,$O38,$F$29:$F$443)/R38,"")</f>
        <v>39.464795918367336</v>
      </c>
      <c r="R38" s="261">
        <f>IFERROR(SUMIF($E$29:$E$443,$O38,$C$29:$C$443),"")</f>
        <v>196</v>
      </c>
      <c r="S38" s="295">
        <f>+R38/$R$36</f>
        <v>0.47342995169082125</v>
      </c>
    </row>
    <row r="39" spans="1:29" x14ac:dyDescent="0.2">
      <c r="A39" s="228"/>
      <c r="B39" s="281"/>
      <c r="C39" s="282">
        <v>1</v>
      </c>
      <c r="D39" s="283"/>
      <c r="E39" s="282">
        <v>4</v>
      </c>
      <c r="F39" s="282">
        <v>82.9</v>
      </c>
      <c r="G39" s="282">
        <f t="shared" si="0"/>
        <v>49</v>
      </c>
      <c r="H39" s="282">
        <f t="shared" si="1"/>
        <v>2986.8790437548</v>
      </c>
      <c r="I39" s="282">
        <f t="shared" si="2"/>
        <v>20634.356060606078</v>
      </c>
      <c r="J39" s="282">
        <f t="shared" si="4"/>
        <v>247612.27272727294</v>
      </c>
      <c r="K39" s="282"/>
      <c r="L39" s="240">
        <f t="shared" si="5"/>
        <v>16580</v>
      </c>
      <c r="M39" s="282"/>
      <c r="N39" s="240">
        <f t="shared" si="3"/>
        <v>18000</v>
      </c>
      <c r="O39" s="228">
        <v>3</v>
      </c>
      <c r="P39" s="293">
        <v>3</v>
      </c>
      <c r="Q39" s="294">
        <f>IFERROR(SUMIF($E$29:$E$443,$O39,$F$29:$F$443)/R39,"")</f>
        <v>62.184313725490227</v>
      </c>
      <c r="R39" s="261">
        <f>IFERROR(SUMIF($E$29:$E$443,$O39,$C$29:$C$443),"")</f>
        <v>51</v>
      </c>
      <c r="S39" s="296">
        <f>+R39/$R$36</f>
        <v>0.12318840579710146</v>
      </c>
    </row>
    <row r="40" spans="1:29" x14ac:dyDescent="0.2">
      <c r="A40" s="228"/>
      <c r="B40" s="281"/>
      <c r="C40" s="282">
        <v>1</v>
      </c>
      <c r="D40" s="283"/>
      <c r="E40" s="282">
        <v>2</v>
      </c>
      <c r="F40" s="282">
        <v>32.9</v>
      </c>
      <c r="G40" s="282">
        <f t="shared" si="0"/>
        <v>40</v>
      </c>
      <c r="H40" s="282">
        <f t="shared" si="1"/>
        <v>4159.6711798839506</v>
      </c>
      <c r="I40" s="282">
        <f t="shared" si="2"/>
        <v>11404.431818181831</v>
      </c>
      <c r="J40" s="282">
        <f t="shared" si="4"/>
        <v>136853.18181818197</v>
      </c>
      <c r="K40" s="282"/>
      <c r="L40" s="240">
        <f t="shared" si="5"/>
        <v>6580</v>
      </c>
      <c r="M40" s="282"/>
      <c r="N40" s="240">
        <f t="shared" si="3"/>
        <v>18000</v>
      </c>
      <c r="O40" s="228">
        <v>4</v>
      </c>
      <c r="P40" s="231">
        <v>4</v>
      </c>
      <c r="Q40" s="294">
        <f>IFERROR(SUMIF($E$29:$E$443,$O40,$F$29:$F$443)/R40,"")</f>
        <v>81.66874999999996</v>
      </c>
      <c r="R40" s="261">
        <f>IFERROR(SUMIF($E$29:$E$443,$O40,$C$29:$C$443),"")</f>
        <v>48</v>
      </c>
      <c r="S40" s="295">
        <f>+R40/$R$36</f>
        <v>0.11594202898550725</v>
      </c>
    </row>
    <row r="41" spans="1:29" ht="12" thickBot="1" x14ac:dyDescent="0.25">
      <c r="A41" s="228"/>
      <c r="B41" s="281"/>
      <c r="C41" s="282">
        <v>1</v>
      </c>
      <c r="D41" s="283"/>
      <c r="E41" s="282">
        <v>3</v>
      </c>
      <c r="F41" s="282">
        <v>66.900000000000006</v>
      </c>
      <c r="G41" s="282">
        <f t="shared" si="0"/>
        <v>44</v>
      </c>
      <c r="H41" s="282">
        <f t="shared" si="1"/>
        <v>3111.9513520858836</v>
      </c>
      <c r="I41" s="282">
        <f t="shared" si="2"/>
        <v>17349.128787878803</v>
      </c>
      <c r="J41" s="282">
        <f t="shared" si="4"/>
        <v>208189.54545454565</v>
      </c>
      <c r="K41" s="282"/>
      <c r="L41" s="240">
        <f t="shared" si="5"/>
        <v>13380.000000000002</v>
      </c>
      <c r="M41" s="282"/>
      <c r="N41" s="240">
        <f t="shared" si="3"/>
        <v>18000</v>
      </c>
      <c r="O41" s="228">
        <v>5</v>
      </c>
      <c r="P41" s="297">
        <v>5</v>
      </c>
      <c r="Q41" s="297" t="str">
        <f>IFERROR(SUMIF($E$29:$E$443,$O41,$F$29:$F$443)/R41,"")</f>
        <v/>
      </c>
      <c r="R41" s="297">
        <f>IFERROR(SUMIF($E$29:$E$443,$O41,$C$29:$C$443),"")</f>
        <v>0</v>
      </c>
      <c r="S41" s="298">
        <f>+R41/$R$36</f>
        <v>0</v>
      </c>
    </row>
    <row r="42" spans="1:29" ht="12" thickTop="1" x14ac:dyDescent="0.2">
      <c r="A42" s="228"/>
      <c r="B42" s="281"/>
      <c r="C42" s="282">
        <v>1</v>
      </c>
      <c r="D42" s="283"/>
      <c r="E42" s="282">
        <v>4</v>
      </c>
      <c r="F42" s="282">
        <v>82.9</v>
      </c>
      <c r="G42" s="282">
        <f t="shared" si="0"/>
        <v>49</v>
      </c>
      <c r="H42" s="282">
        <f t="shared" si="1"/>
        <v>2986.8790437548</v>
      </c>
      <c r="I42" s="282">
        <f t="shared" si="2"/>
        <v>20634.356060606078</v>
      </c>
      <c r="J42" s="282">
        <f t="shared" si="4"/>
        <v>247612.27272727294</v>
      </c>
      <c r="K42" s="282"/>
      <c r="L42" s="240">
        <f t="shared" si="5"/>
        <v>16580</v>
      </c>
      <c r="M42" s="282"/>
      <c r="N42" s="240">
        <f t="shared" si="3"/>
        <v>18000</v>
      </c>
    </row>
    <row r="43" spans="1:29" x14ac:dyDescent="0.2">
      <c r="A43" s="228"/>
      <c r="B43" s="281"/>
      <c r="C43" s="282">
        <v>1</v>
      </c>
      <c r="D43" s="283"/>
      <c r="E43" s="282">
        <v>1</v>
      </c>
      <c r="F43" s="282">
        <v>25</v>
      </c>
      <c r="G43" s="282">
        <f t="shared" si="0"/>
        <v>34</v>
      </c>
      <c r="H43" s="282">
        <f t="shared" si="1"/>
        <v>4430.3636363636397</v>
      </c>
      <c r="I43" s="282">
        <f t="shared" si="2"/>
        <v>9229.9242424242493</v>
      </c>
      <c r="J43" s="282">
        <f t="shared" si="4"/>
        <v>110759.090909091</v>
      </c>
      <c r="K43" s="282"/>
      <c r="L43" s="240">
        <f t="shared" si="5"/>
        <v>5000</v>
      </c>
      <c r="M43" s="282"/>
      <c r="N43" s="240">
        <f t="shared" si="3"/>
        <v>18000</v>
      </c>
      <c r="S43" s="299"/>
    </row>
    <row r="44" spans="1:29" x14ac:dyDescent="0.2">
      <c r="A44" s="228"/>
      <c r="B44" s="281"/>
      <c r="C44" s="282">
        <v>1</v>
      </c>
      <c r="D44" s="283"/>
      <c r="E44" s="282">
        <v>2</v>
      </c>
      <c r="F44" s="282">
        <v>34.1</v>
      </c>
      <c r="G44" s="282">
        <f t="shared" si="0"/>
        <v>40</v>
      </c>
      <c r="H44" s="282">
        <f t="shared" si="1"/>
        <v>4079.3521727539355</v>
      </c>
      <c r="I44" s="282">
        <f t="shared" si="2"/>
        <v>11592.159090909101</v>
      </c>
      <c r="J44" s="282">
        <f t="shared" si="4"/>
        <v>139105.9090909092</v>
      </c>
      <c r="K44" s="282"/>
      <c r="L44" s="240">
        <f t="shared" si="5"/>
        <v>6820</v>
      </c>
      <c r="M44" s="282"/>
      <c r="N44" s="240">
        <f t="shared" si="3"/>
        <v>18000</v>
      </c>
      <c r="S44" s="299"/>
      <c r="V44" s="300"/>
      <c r="W44" s="300"/>
      <c r="X44" s="300"/>
      <c r="Y44" s="300"/>
      <c r="Z44" s="301"/>
      <c r="AA44" s="301"/>
      <c r="AB44" s="301"/>
      <c r="AC44" s="301"/>
    </row>
    <row r="45" spans="1:29" x14ac:dyDescent="0.2">
      <c r="A45" s="228"/>
      <c r="B45" s="281"/>
      <c r="C45" s="282">
        <v>1</v>
      </c>
      <c r="D45" s="283"/>
      <c r="E45" s="282">
        <v>3</v>
      </c>
      <c r="F45" s="282">
        <v>63.9</v>
      </c>
      <c r="G45" s="282">
        <f t="shared" si="0"/>
        <v>44</v>
      </c>
      <c r="H45" s="282">
        <f t="shared" si="1"/>
        <v>3169.91748470622</v>
      </c>
      <c r="I45" s="282">
        <f t="shared" si="2"/>
        <v>16879.810606060619</v>
      </c>
      <c r="J45" s="282">
        <f t="shared" si="4"/>
        <v>202557.72727272741</v>
      </c>
      <c r="K45" s="282"/>
      <c r="L45" s="240">
        <f t="shared" si="5"/>
        <v>12780</v>
      </c>
      <c r="M45" s="282"/>
      <c r="N45" s="240">
        <f t="shared" si="3"/>
        <v>18000</v>
      </c>
      <c r="V45" s="300"/>
      <c r="W45" s="300"/>
      <c r="X45" s="300"/>
      <c r="Y45" s="300"/>
      <c r="Z45" s="301"/>
      <c r="AA45" s="301"/>
      <c r="AB45" s="301"/>
      <c r="AC45" s="301"/>
    </row>
    <row r="46" spans="1:29" x14ac:dyDescent="0.2">
      <c r="A46" s="228"/>
      <c r="B46" s="281"/>
      <c r="C46" s="282">
        <v>1</v>
      </c>
      <c r="D46" s="283"/>
      <c r="E46" s="282">
        <v>2</v>
      </c>
      <c r="F46" s="282">
        <v>32.9</v>
      </c>
      <c r="G46" s="282">
        <f t="shared" si="0"/>
        <v>40</v>
      </c>
      <c r="H46" s="282">
        <f t="shared" si="1"/>
        <v>4159.6711798839506</v>
      </c>
      <c r="I46" s="282">
        <f t="shared" si="2"/>
        <v>11404.431818181831</v>
      </c>
      <c r="J46" s="282">
        <f t="shared" si="4"/>
        <v>136853.18181818197</v>
      </c>
      <c r="K46" s="282"/>
      <c r="L46" s="240">
        <f t="shared" si="5"/>
        <v>6580</v>
      </c>
      <c r="M46" s="282"/>
      <c r="N46" s="240">
        <f t="shared" si="3"/>
        <v>18000</v>
      </c>
      <c r="V46" s="300"/>
      <c r="W46" s="300"/>
      <c r="X46" s="300"/>
      <c r="Y46" s="300"/>
      <c r="Z46" s="301"/>
      <c r="AA46" s="301"/>
      <c r="AB46" s="301"/>
      <c r="AC46" s="301"/>
    </row>
    <row r="47" spans="1:29" x14ac:dyDescent="0.2">
      <c r="A47" s="228"/>
      <c r="B47" s="281"/>
      <c r="C47" s="282">
        <v>1</v>
      </c>
      <c r="D47" s="283"/>
      <c r="E47" s="282">
        <v>2</v>
      </c>
      <c r="F47" s="282">
        <v>44.3</v>
      </c>
      <c r="G47" s="282">
        <f t="shared" si="0"/>
        <v>40</v>
      </c>
      <c r="H47" s="282">
        <f t="shared" si="1"/>
        <v>3572.3271085573606</v>
      </c>
      <c r="I47" s="282">
        <f t="shared" si="2"/>
        <v>13187.840909090921</v>
      </c>
      <c r="J47" s="282">
        <f t="shared" si="4"/>
        <v>158254.09090909106</v>
      </c>
      <c r="K47" s="282"/>
      <c r="L47" s="240">
        <f t="shared" si="5"/>
        <v>8860</v>
      </c>
      <c r="M47" s="282"/>
      <c r="N47" s="240">
        <f t="shared" si="3"/>
        <v>18000</v>
      </c>
      <c r="V47" s="301"/>
      <c r="W47" s="301"/>
      <c r="X47" s="301"/>
      <c r="Y47" s="301"/>
      <c r="Z47" s="301"/>
      <c r="AA47" s="301"/>
      <c r="AB47" s="301"/>
      <c r="AC47" s="301"/>
    </row>
    <row r="48" spans="1:29" ht="12" customHeight="1" x14ac:dyDescent="0.2">
      <c r="A48" s="228"/>
      <c r="B48" s="281"/>
      <c r="C48" s="282">
        <v>1</v>
      </c>
      <c r="D48" s="283"/>
      <c r="E48" s="282">
        <v>3</v>
      </c>
      <c r="F48" s="282">
        <v>66.900000000000006</v>
      </c>
      <c r="G48" s="282">
        <f t="shared" si="0"/>
        <v>44</v>
      </c>
      <c r="H48" s="282">
        <f t="shared" si="1"/>
        <v>3111.9513520858836</v>
      </c>
      <c r="I48" s="282">
        <f t="shared" si="2"/>
        <v>17349.128787878803</v>
      </c>
      <c r="J48" s="282">
        <f t="shared" si="4"/>
        <v>208189.54545454565</v>
      </c>
      <c r="K48" s="282"/>
      <c r="L48" s="240">
        <f t="shared" si="5"/>
        <v>13380.000000000002</v>
      </c>
      <c r="M48" s="282"/>
      <c r="N48" s="240">
        <f t="shared" si="3"/>
        <v>18000</v>
      </c>
      <c r="V48" s="302"/>
      <c r="W48" s="302"/>
      <c r="X48" s="302"/>
      <c r="Y48" s="302"/>
      <c r="Z48" s="301"/>
      <c r="AA48" s="301"/>
      <c r="AB48" s="301"/>
      <c r="AC48" s="301"/>
    </row>
    <row r="49" spans="1:29" x14ac:dyDescent="0.2">
      <c r="A49" s="228"/>
      <c r="B49" s="281"/>
      <c r="C49" s="282">
        <v>1</v>
      </c>
      <c r="D49" s="283"/>
      <c r="E49" s="282">
        <v>2</v>
      </c>
      <c r="F49" s="282">
        <v>32.9</v>
      </c>
      <c r="G49" s="282">
        <f t="shared" si="0"/>
        <v>40</v>
      </c>
      <c r="H49" s="282">
        <f t="shared" si="1"/>
        <v>4159.6711798839506</v>
      </c>
      <c r="I49" s="282">
        <f t="shared" si="2"/>
        <v>11404.431818181831</v>
      </c>
      <c r="J49" s="282">
        <f t="shared" si="4"/>
        <v>136853.18181818197</v>
      </c>
      <c r="K49" s="282"/>
      <c r="L49" s="240">
        <f t="shared" si="5"/>
        <v>6580</v>
      </c>
      <c r="M49" s="282"/>
      <c r="N49" s="240">
        <f t="shared" si="3"/>
        <v>18000</v>
      </c>
      <c r="V49" s="303"/>
      <c r="W49" s="303"/>
      <c r="X49" s="303"/>
      <c r="Y49" s="303"/>
      <c r="Z49" s="301"/>
      <c r="AA49" s="301"/>
      <c r="AB49" s="301"/>
      <c r="AC49" s="301"/>
    </row>
    <row r="50" spans="1:29" x14ac:dyDescent="0.2">
      <c r="A50" s="228"/>
      <c r="B50" s="281"/>
      <c r="C50" s="282">
        <v>1</v>
      </c>
      <c r="D50" s="283"/>
      <c r="E50" s="282">
        <v>2</v>
      </c>
      <c r="F50" s="282">
        <v>44.3</v>
      </c>
      <c r="G50" s="282">
        <f t="shared" si="0"/>
        <v>40</v>
      </c>
      <c r="H50" s="282">
        <f t="shared" si="1"/>
        <v>3572.3271085573606</v>
      </c>
      <c r="I50" s="282">
        <f t="shared" si="2"/>
        <v>13187.840909090921</v>
      </c>
      <c r="J50" s="282">
        <f t="shared" si="4"/>
        <v>158254.09090909106</v>
      </c>
      <c r="K50" s="282"/>
      <c r="L50" s="240">
        <f t="shared" si="5"/>
        <v>8860</v>
      </c>
      <c r="M50" s="282"/>
      <c r="N50" s="240">
        <f t="shared" si="3"/>
        <v>18000</v>
      </c>
      <c r="V50" s="300"/>
      <c r="W50" s="300"/>
      <c r="X50" s="300"/>
      <c r="Y50" s="300"/>
      <c r="Z50" s="301"/>
      <c r="AA50" s="301"/>
      <c r="AB50" s="301"/>
      <c r="AC50" s="301"/>
    </row>
    <row r="51" spans="1:29" x14ac:dyDescent="0.2">
      <c r="A51" s="228"/>
      <c r="B51" s="281"/>
      <c r="C51" s="282">
        <v>1</v>
      </c>
      <c r="D51" s="283"/>
      <c r="E51" s="282">
        <v>3</v>
      </c>
      <c r="F51" s="282">
        <v>66.900000000000006</v>
      </c>
      <c r="G51" s="282">
        <f t="shared" si="0"/>
        <v>44</v>
      </c>
      <c r="H51" s="282">
        <f t="shared" si="1"/>
        <v>3111.9513520858836</v>
      </c>
      <c r="I51" s="282">
        <f t="shared" si="2"/>
        <v>17349.128787878803</v>
      </c>
      <c r="J51" s="282">
        <f t="shared" si="4"/>
        <v>208189.54545454565</v>
      </c>
      <c r="K51" s="282"/>
      <c r="L51" s="240">
        <f t="shared" si="5"/>
        <v>13380.000000000002</v>
      </c>
      <c r="M51" s="282"/>
      <c r="N51" s="240">
        <f t="shared" si="3"/>
        <v>18000</v>
      </c>
      <c r="V51" s="301"/>
      <c r="W51" s="301"/>
      <c r="X51" s="301"/>
      <c r="Y51" s="301"/>
      <c r="Z51" s="301"/>
      <c r="AA51" s="301"/>
      <c r="AB51" s="301"/>
      <c r="AC51" s="301"/>
    </row>
    <row r="52" spans="1:29" x14ac:dyDescent="0.2">
      <c r="A52" s="228"/>
      <c r="B52" s="281"/>
      <c r="C52" s="282">
        <v>1</v>
      </c>
      <c r="D52" s="283"/>
      <c r="E52" s="282">
        <v>2</v>
      </c>
      <c r="F52" s="282">
        <v>32.9</v>
      </c>
      <c r="G52" s="282">
        <f t="shared" si="0"/>
        <v>40</v>
      </c>
      <c r="H52" s="282">
        <f t="shared" si="1"/>
        <v>4159.6711798839506</v>
      </c>
      <c r="I52" s="282">
        <f t="shared" si="2"/>
        <v>11404.431818181831</v>
      </c>
      <c r="J52" s="282">
        <f t="shared" si="4"/>
        <v>136853.18181818197</v>
      </c>
      <c r="K52" s="282"/>
      <c r="L52" s="240">
        <f t="shared" si="5"/>
        <v>6580</v>
      </c>
      <c r="M52" s="282"/>
      <c r="N52" s="240">
        <f t="shared" si="3"/>
        <v>18000</v>
      </c>
      <c r="V52" s="301"/>
      <c r="W52" s="301"/>
      <c r="X52" s="301"/>
      <c r="Y52" s="301"/>
      <c r="Z52" s="301"/>
      <c r="AA52" s="301"/>
      <c r="AB52" s="301"/>
      <c r="AC52" s="301"/>
    </row>
    <row r="53" spans="1:29" x14ac:dyDescent="0.2">
      <c r="A53" s="228"/>
      <c r="B53" s="281"/>
      <c r="C53" s="282">
        <v>1</v>
      </c>
      <c r="D53" s="283"/>
      <c r="E53" s="282">
        <v>2</v>
      </c>
      <c r="F53" s="282">
        <v>44.3</v>
      </c>
      <c r="G53" s="282">
        <f t="shared" si="0"/>
        <v>40</v>
      </c>
      <c r="H53" s="282">
        <f t="shared" si="1"/>
        <v>3572.3271085573606</v>
      </c>
      <c r="I53" s="282">
        <f t="shared" si="2"/>
        <v>13187.840909090921</v>
      </c>
      <c r="J53" s="282">
        <f t="shared" si="4"/>
        <v>158254.09090909106</v>
      </c>
      <c r="K53" s="282"/>
      <c r="L53" s="240">
        <f t="shared" si="5"/>
        <v>8860</v>
      </c>
      <c r="M53" s="282"/>
      <c r="N53" s="240">
        <f t="shared" si="3"/>
        <v>18000</v>
      </c>
      <c r="V53" s="301"/>
      <c r="W53" s="301"/>
      <c r="X53" s="301"/>
      <c r="Y53" s="301"/>
      <c r="Z53" s="301"/>
      <c r="AA53" s="301"/>
      <c r="AB53" s="301"/>
      <c r="AC53" s="301"/>
    </row>
    <row r="54" spans="1:29" x14ac:dyDescent="0.2">
      <c r="A54" s="228"/>
      <c r="B54" s="281"/>
      <c r="C54" s="282">
        <v>1</v>
      </c>
      <c r="D54" s="283"/>
      <c r="E54" s="282">
        <v>3</v>
      </c>
      <c r="F54" s="282">
        <v>66.900000000000006</v>
      </c>
      <c r="G54" s="282">
        <f t="shared" si="0"/>
        <v>44</v>
      </c>
      <c r="H54" s="282">
        <f t="shared" si="1"/>
        <v>3111.9513520858836</v>
      </c>
      <c r="I54" s="282">
        <f t="shared" si="2"/>
        <v>17349.128787878803</v>
      </c>
      <c r="J54" s="282">
        <f t="shared" si="4"/>
        <v>208189.54545454565</v>
      </c>
      <c r="K54" s="282"/>
      <c r="L54" s="240">
        <f t="shared" si="5"/>
        <v>13380.000000000002</v>
      </c>
      <c r="M54" s="282"/>
      <c r="N54" s="240">
        <f t="shared" si="3"/>
        <v>18000</v>
      </c>
      <c r="V54" s="301"/>
      <c r="W54" s="301"/>
      <c r="X54" s="301"/>
      <c r="Y54" s="301"/>
      <c r="Z54" s="301"/>
      <c r="AA54" s="301"/>
      <c r="AB54" s="301"/>
      <c r="AC54" s="301"/>
    </row>
    <row r="55" spans="1:29" x14ac:dyDescent="0.2">
      <c r="A55" s="228"/>
      <c r="B55" s="281"/>
      <c r="C55" s="282">
        <v>1</v>
      </c>
      <c r="D55" s="283"/>
      <c r="E55" s="282">
        <v>2</v>
      </c>
      <c r="F55" s="282">
        <v>32.9</v>
      </c>
      <c r="G55" s="282">
        <f t="shared" si="0"/>
        <v>40</v>
      </c>
      <c r="H55" s="282">
        <f t="shared" si="1"/>
        <v>4159.6711798839506</v>
      </c>
      <c r="I55" s="282">
        <f t="shared" si="2"/>
        <v>11404.431818181831</v>
      </c>
      <c r="J55" s="282">
        <f t="shared" si="4"/>
        <v>136853.18181818197</v>
      </c>
      <c r="K55" s="282"/>
      <c r="L55" s="240">
        <f t="shared" si="5"/>
        <v>6580</v>
      </c>
      <c r="M55" s="282"/>
      <c r="N55" s="240">
        <f t="shared" si="3"/>
        <v>18000</v>
      </c>
      <c r="V55" s="301"/>
      <c r="W55" s="301"/>
      <c r="X55" s="301"/>
      <c r="Y55" s="301"/>
      <c r="Z55" s="301"/>
      <c r="AA55" s="301"/>
      <c r="AB55" s="301"/>
      <c r="AC55" s="301"/>
    </row>
    <row r="56" spans="1:29" x14ac:dyDescent="0.2">
      <c r="A56" s="228"/>
      <c r="B56" s="281"/>
      <c r="C56" s="282">
        <v>1</v>
      </c>
      <c r="D56" s="283"/>
      <c r="E56" s="282">
        <v>2</v>
      </c>
      <c r="F56" s="282">
        <v>44.3</v>
      </c>
      <c r="G56" s="282">
        <f t="shared" si="0"/>
        <v>40</v>
      </c>
      <c r="H56" s="282">
        <f t="shared" si="1"/>
        <v>3572.3271085573606</v>
      </c>
      <c r="I56" s="282">
        <f t="shared" si="2"/>
        <v>13187.840909090921</v>
      </c>
      <c r="J56" s="282">
        <f t="shared" si="4"/>
        <v>158254.09090909106</v>
      </c>
      <c r="K56" s="282"/>
      <c r="L56" s="240">
        <f t="shared" si="5"/>
        <v>8860</v>
      </c>
      <c r="M56" s="282"/>
      <c r="N56" s="240">
        <f t="shared" si="3"/>
        <v>18000</v>
      </c>
      <c r="S56" s="299"/>
      <c r="V56" s="301"/>
      <c r="W56" s="301"/>
      <c r="X56" s="301"/>
      <c r="Y56" s="301"/>
      <c r="Z56" s="301"/>
      <c r="AA56" s="301"/>
      <c r="AB56" s="301"/>
      <c r="AC56" s="301"/>
    </row>
    <row r="57" spans="1:29" x14ac:dyDescent="0.2">
      <c r="A57" s="228"/>
      <c r="B57" s="281"/>
      <c r="C57" s="282">
        <v>1</v>
      </c>
      <c r="D57" s="283"/>
      <c r="E57" s="282">
        <v>3</v>
      </c>
      <c r="F57" s="282">
        <v>66.900000000000006</v>
      </c>
      <c r="G57" s="282">
        <f t="shared" si="0"/>
        <v>44</v>
      </c>
      <c r="H57" s="282">
        <f t="shared" si="1"/>
        <v>3111.9513520858836</v>
      </c>
      <c r="I57" s="282">
        <f t="shared" si="2"/>
        <v>17349.128787878803</v>
      </c>
      <c r="J57" s="282">
        <f t="shared" si="4"/>
        <v>208189.54545454565</v>
      </c>
      <c r="K57" s="282"/>
      <c r="L57" s="240">
        <f t="shared" si="5"/>
        <v>13380.000000000002</v>
      </c>
      <c r="M57" s="282"/>
      <c r="N57" s="240">
        <f t="shared" si="3"/>
        <v>18000</v>
      </c>
      <c r="S57" s="299"/>
      <c r="V57" s="301"/>
      <c r="W57" s="301"/>
      <c r="X57" s="301"/>
      <c r="Y57" s="301"/>
      <c r="Z57" s="301"/>
      <c r="AA57" s="301"/>
      <c r="AB57" s="301"/>
      <c r="AC57" s="301"/>
    </row>
    <row r="58" spans="1:29" x14ac:dyDescent="0.2">
      <c r="A58" s="228"/>
      <c r="B58" s="281"/>
      <c r="C58" s="282">
        <v>1</v>
      </c>
      <c r="D58" s="283"/>
      <c r="E58" s="282">
        <v>2</v>
      </c>
      <c r="F58" s="282">
        <v>32.9</v>
      </c>
      <c r="G58" s="282">
        <f t="shared" si="0"/>
        <v>40</v>
      </c>
      <c r="H58" s="282">
        <f t="shared" si="1"/>
        <v>4159.6711798839506</v>
      </c>
      <c r="I58" s="282">
        <f t="shared" si="2"/>
        <v>11404.431818181831</v>
      </c>
      <c r="J58" s="282">
        <f t="shared" si="4"/>
        <v>136853.18181818197</v>
      </c>
      <c r="K58" s="282"/>
      <c r="L58" s="240">
        <f t="shared" si="5"/>
        <v>6580</v>
      </c>
      <c r="M58" s="282"/>
      <c r="N58" s="240">
        <f t="shared" si="3"/>
        <v>18000</v>
      </c>
      <c r="V58" s="301"/>
      <c r="W58" s="301"/>
      <c r="X58" s="301"/>
      <c r="Y58" s="301"/>
      <c r="Z58" s="301"/>
      <c r="AA58" s="301"/>
      <c r="AB58" s="301"/>
      <c r="AC58" s="301"/>
    </row>
    <row r="59" spans="1:29" x14ac:dyDescent="0.2">
      <c r="A59" s="228"/>
      <c r="B59" s="281"/>
      <c r="C59" s="282">
        <v>1</v>
      </c>
      <c r="D59" s="283"/>
      <c r="E59" s="282">
        <v>2</v>
      </c>
      <c r="F59" s="282">
        <v>44.3</v>
      </c>
      <c r="G59" s="282">
        <f t="shared" si="0"/>
        <v>40</v>
      </c>
      <c r="H59" s="282">
        <f t="shared" si="1"/>
        <v>3572.3271085573606</v>
      </c>
      <c r="I59" s="282">
        <f t="shared" si="2"/>
        <v>13187.840909090921</v>
      </c>
      <c r="J59" s="282">
        <f t="shared" si="4"/>
        <v>158254.09090909106</v>
      </c>
      <c r="K59" s="282"/>
      <c r="L59" s="240">
        <f t="shared" si="5"/>
        <v>8860</v>
      </c>
      <c r="M59" s="282"/>
      <c r="N59" s="240">
        <f t="shared" si="3"/>
        <v>18000</v>
      </c>
      <c r="V59" s="301"/>
      <c r="W59" s="301"/>
      <c r="X59" s="301"/>
      <c r="Y59" s="301"/>
      <c r="Z59" s="301"/>
      <c r="AA59" s="301"/>
      <c r="AB59" s="301"/>
      <c r="AC59" s="301"/>
    </row>
    <row r="60" spans="1:29" x14ac:dyDescent="0.2">
      <c r="A60" s="228"/>
      <c r="B60" s="281"/>
      <c r="C60" s="282">
        <v>1</v>
      </c>
      <c r="D60" s="283"/>
      <c r="E60" s="282">
        <v>3</v>
      </c>
      <c r="F60" s="282">
        <v>66.900000000000006</v>
      </c>
      <c r="G60" s="282">
        <f t="shared" si="0"/>
        <v>44</v>
      </c>
      <c r="H60" s="282">
        <f t="shared" si="1"/>
        <v>3111.9513520858836</v>
      </c>
      <c r="I60" s="282">
        <f t="shared" si="2"/>
        <v>17349.128787878803</v>
      </c>
      <c r="J60" s="282">
        <f t="shared" si="4"/>
        <v>208189.54545454565</v>
      </c>
      <c r="K60" s="282"/>
      <c r="L60" s="240">
        <f t="shared" si="5"/>
        <v>13380.000000000002</v>
      </c>
      <c r="M60" s="282"/>
      <c r="N60" s="240">
        <f t="shared" si="3"/>
        <v>18000</v>
      </c>
    </row>
    <row r="61" spans="1:29" x14ac:dyDescent="0.2">
      <c r="A61" s="228"/>
      <c r="B61" s="281"/>
      <c r="C61" s="282">
        <v>1</v>
      </c>
      <c r="D61" s="283"/>
      <c r="E61" s="282">
        <v>1</v>
      </c>
      <c r="F61" s="282">
        <v>34.799999999999997</v>
      </c>
      <c r="G61" s="282">
        <f t="shared" si="0"/>
        <v>34</v>
      </c>
      <c r="H61" s="282">
        <f t="shared" si="1"/>
        <v>3711.3897596656252</v>
      </c>
      <c r="I61" s="282">
        <f t="shared" si="2"/>
        <v>10763.030303030313</v>
      </c>
      <c r="J61" s="282">
        <f t="shared" si="4"/>
        <v>129156.36363636376</v>
      </c>
      <c r="K61" s="282"/>
      <c r="L61" s="240">
        <f t="shared" si="5"/>
        <v>6959.9999999999991</v>
      </c>
      <c r="M61" s="282"/>
      <c r="N61" s="240">
        <f t="shared" ref="N61:N92" si="6">$H$6*12</f>
        <v>18000</v>
      </c>
    </row>
    <row r="62" spans="1:29" x14ac:dyDescent="0.2">
      <c r="A62" s="228"/>
      <c r="B62" s="281"/>
      <c r="C62" s="282">
        <v>1</v>
      </c>
      <c r="D62" s="283"/>
      <c r="E62" s="282">
        <v>2</v>
      </c>
      <c r="F62" s="282">
        <v>39.299999999999997</v>
      </c>
      <c r="G62" s="282">
        <f t="shared" si="0"/>
        <v>40</v>
      </c>
      <c r="H62" s="282">
        <f t="shared" si="1"/>
        <v>3787.9828822576951</v>
      </c>
      <c r="I62" s="282">
        <f t="shared" si="2"/>
        <v>12405.643939393951</v>
      </c>
      <c r="J62" s="282">
        <f t="shared" si="4"/>
        <v>148867.72727272741</v>
      </c>
      <c r="K62" s="282"/>
      <c r="L62" s="240">
        <f t="shared" si="5"/>
        <v>7859.9999999999991</v>
      </c>
      <c r="M62" s="282"/>
      <c r="N62" s="240">
        <f t="shared" si="6"/>
        <v>18000</v>
      </c>
    </row>
    <row r="63" spans="1:29" x14ac:dyDescent="0.2">
      <c r="A63" s="228"/>
      <c r="B63" s="281"/>
      <c r="C63" s="282">
        <v>1</v>
      </c>
      <c r="D63" s="283"/>
      <c r="E63" s="282">
        <v>2</v>
      </c>
      <c r="F63" s="282">
        <v>39.299999999999997</v>
      </c>
      <c r="G63" s="282">
        <f t="shared" si="0"/>
        <v>40</v>
      </c>
      <c r="H63" s="282">
        <f t="shared" si="1"/>
        <v>3787.9828822576951</v>
      </c>
      <c r="I63" s="282">
        <f t="shared" si="2"/>
        <v>12405.643939393951</v>
      </c>
      <c r="J63" s="282">
        <f t="shared" si="4"/>
        <v>148867.72727272741</v>
      </c>
      <c r="K63" s="282"/>
      <c r="L63" s="240">
        <f t="shared" si="5"/>
        <v>7859.9999999999991</v>
      </c>
      <c r="M63" s="282"/>
      <c r="N63" s="240">
        <f t="shared" si="6"/>
        <v>18000</v>
      </c>
    </row>
    <row r="64" spans="1:29" x14ac:dyDescent="0.2">
      <c r="A64" s="228"/>
      <c r="B64" s="281"/>
      <c r="C64" s="282">
        <v>1</v>
      </c>
      <c r="D64" s="283"/>
      <c r="E64" s="282">
        <v>2</v>
      </c>
      <c r="F64" s="282">
        <v>39.299999999999997</v>
      </c>
      <c r="G64" s="282">
        <f t="shared" si="0"/>
        <v>40</v>
      </c>
      <c r="H64" s="282">
        <f t="shared" si="1"/>
        <v>3787.9828822576951</v>
      </c>
      <c r="I64" s="282">
        <f t="shared" si="2"/>
        <v>12405.643939393951</v>
      </c>
      <c r="J64" s="282">
        <f t="shared" si="4"/>
        <v>148867.72727272741</v>
      </c>
      <c r="K64" s="282"/>
      <c r="L64" s="240">
        <f t="shared" si="5"/>
        <v>7859.9999999999991</v>
      </c>
      <c r="M64" s="282"/>
      <c r="N64" s="240">
        <f t="shared" si="6"/>
        <v>18000</v>
      </c>
    </row>
    <row r="65" spans="1:19" x14ac:dyDescent="0.2">
      <c r="A65" s="228"/>
      <c r="B65" s="281"/>
      <c r="C65" s="282">
        <v>1</v>
      </c>
      <c r="D65" s="283"/>
      <c r="E65" s="282">
        <v>2</v>
      </c>
      <c r="F65" s="282">
        <v>41.4</v>
      </c>
      <c r="G65" s="282">
        <f t="shared" si="0"/>
        <v>40</v>
      </c>
      <c r="H65" s="282">
        <f t="shared" si="1"/>
        <v>3691.0628019323708</v>
      </c>
      <c r="I65" s="282">
        <f t="shared" si="2"/>
        <v>12734.166666666679</v>
      </c>
      <c r="J65" s="282">
        <f t="shared" si="4"/>
        <v>152810.00000000015</v>
      </c>
      <c r="K65" s="282"/>
      <c r="L65" s="240">
        <f t="shared" si="5"/>
        <v>8280</v>
      </c>
      <c r="M65" s="282"/>
      <c r="N65" s="240">
        <f t="shared" si="6"/>
        <v>18000</v>
      </c>
    </row>
    <row r="66" spans="1:19" x14ac:dyDescent="0.2">
      <c r="A66" s="228"/>
      <c r="B66" s="281"/>
      <c r="C66" s="282">
        <v>1</v>
      </c>
      <c r="D66" s="283"/>
      <c r="E66" s="282">
        <v>2</v>
      </c>
      <c r="F66" s="282">
        <v>45</v>
      </c>
      <c r="G66" s="282">
        <f t="shared" si="0"/>
        <v>40</v>
      </c>
      <c r="H66" s="282">
        <f t="shared" si="1"/>
        <v>3545.9595959595995</v>
      </c>
      <c r="I66" s="282">
        <f t="shared" si="2"/>
        <v>13297.348484848497</v>
      </c>
      <c r="J66" s="282">
        <f t="shared" si="4"/>
        <v>159568.18181818197</v>
      </c>
      <c r="K66" s="282"/>
      <c r="L66" s="240">
        <f t="shared" si="5"/>
        <v>9000</v>
      </c>
      <c r="M66" s="282"/>
      <c r="N66" s="240">
        <f t="shared" si="6"/>
        <v>18000</v>
      </c>
    </row>
    <row r="67" spans="1:19" x14ac:dyDescent="0.2">
      <c r="A67" s="228"/>
      <c r="B67" s="281"/>
      <c r="C67" s="282">
        <v>1</v>
      </c>
      <c r="D67" s="283"/>
      <c r="E67" s="282">
        <v>2</v>
      </c>
      <c r="F67" s="282">
        <v>54</v>
      </c>
      <c r="G67" s="282">
        <f t="shared" si="0"/>
        <v>40</v>
      </c>
      <c r="H67" s="282">
        <f t="shared" si="1"/>
        <v>3267.845117845121</v>
      </c>
      <c r="I67" s="282">
        <f t="shared" si="2"/>
        <v>14705.303030303045</v>
      </c>
      <c r="J67" s="282">
        <f t="shared" si="4"/>
        <v>176463.63636363653</v>
      </c>
      <c r="K67" s="282"/>
      <c r="L67" s="240">
        <f t="shared" si="5"/>
        <v>10800</v>
      </c>
      <c r="M67" s="282"/>
      <c r="N67" s="240">
        <f t="shared" si="6"/>
        <v>18000</v>
      </c>
    </row>
    <row r="68" spans="1:19" x14ac:dyDescent="0.2">
      <c r="A68" s="228"/>
      <c r="B68" s="281"/>
      <c r="C68" s="282">
        <v>1</v>
      </c>
      <c r="D68" s="283"/>
      <c r="E68" s="282">
        <v>4</v>
      </c>
      <c r="F68" s="282">
        <v>76.5</v>
      </c>
      <c r="G68" s="282">
        <f t="shared" si="0"/>
        <v>49</v>
      </c>
      <c r="H68" s="282">
        <f t="shared" si="1"/>
        <v>3079.7088532382677</v>
      </c>
      <c r="I68" s="282">
        <f t="shared" si="2"/>
        <v>19633.143939393954</v>
      </c>
      <c r="J68" s="282">
        <f t="shared" si="4"/>
        <v>235597.72727272747</v>
      </c>
      <c r="K68" s="282"/>
      <c r="L68" s="240">
        <f t="shared" si="5"/>
        <v>15300</v>
      </c>
      <c r="M68" s="282"/>
      <c r="N68" s="240">
        <f t="shared" si="6"/>
        <v>18000</v>
      </c>
    </row>
    <row r="69" spans="1:19" x14ac:dyDescent="0.2">
      <c r="A69" s="228"/>
      <c r="B69" s="281"/>
      <c r="C69" s="282">
        <v>1</v>
      </c>
      <c r="D69" s="283"/>
      <c r="E69" s="282">
        <v>2</v>
      </c>
      <c r="F69" s="282">
        <v>39.299999999999997</v>
      </c>
      <c r="G69" s="282">
        <f t="shared" si="0"/>
        <v>40</v>
      </c>
      <c r="H69" s="282">
        <f t="shared" si="1"/>
        <v>3787.9828822576951</v>
      </c>
      <c r="I69" s="282">
        <f t="shared" si="2"/>
        <v>12405.643939393951</v>
      </c>
      <c r="J69" s="282">
        <f t="shared" si="4"/>
        <v>148867.72727272741</v>
      </c>
      <c r="K69" s="282"/>
      <c r="L69" s="240">
        <f t="shared" si="5"/>
        <v>7859.9999999999991</v>
      </c>
      <c r="M69" s="282"/>
      <c r="N69" s="240">
        <f t="shared" si="6"/>
        <v>18000</v>
      </c>
      <c r="S69" s="299"/>
    </row>
    <row r="70" spans="1:19" x14ac:dyDescent="0.2">
      <c r="A70" s="228"/>
      <c r="B70" s="281"/>
      <c r="C70" s="282">
        <v>1</v>
      </c>
      <c r="D70" s="283"/>
      <c r="E70" s="282">
        <v>2</v>
      </c>
      <c r="F70" s="282">
        <v>39.299999999999997</v>
      </c>
      <c r="G70" s="282">
        <f t="shared" si="0"/>
        <v>40</v>
      </c>
      <c r="H70" s="282">
        <f t="shared" si="1"/>
        <v>3787.9828822576951</v>
      </c>
      <c r="I70" s="282">
        <f t="shared" si="2"/>
        <v>12405.643939393951</v>
      </c>
      <c r="J70" s="282">
        <f t="shared" si="4"/>
        <v>148867.72727272741</v>
      </c>
      <c r="K70" s="282"/>
      <c r="L70" s="240">
        <f t="shared" si="5"/>
        <v>7859.9999999999991</v>
      </c>
      <c r="M70" s="282"/>
      <c r="N70" s="240">
        <f t="shared" si="6"/>
        <v>18000</v>
      </c>
      <c r="S70" s="299"/>
    </row>
    <row r="71" spans="1:19" x14ac:dyDescent="0.2">
      <c r="A71" s="228"/>
      <c r="B71" s="281"/>
      <c r="C71" s="282">
        <v>1</v>
      </c>
      <c r="D71" s="283"/>
      <c r="E71" s="282">
        <v>2</v>
      </c>
      <c r="F71" s="282">
        <v>39.299999999999997</v>
      </c>
      <c r="G71" s="282">
        <f t="shared" si="0"/>
        <v>40</v>
      </c>
      <c r="H71" s="282">
        <f t="shared" si="1"/>
        <v>3787.9828822576951</v>
      </c>
      <c r="I71" s="282">
        <f t="shared" si="2"/>
        <v>12405.643939393951</v>
      </c>
      <c r="J71" s="282">
        <f t="shared" si="4"/>
        <v>148867.72727272741</v>
      </c>
      <c r="K71" s="282"/>
      <c r="L71" s="240">
        <f t="shared" si="5"/>
        <v>7859.9999999999991</v>
      </c>
      <c r="M71" s="282"/>
      <c r="N71" s="240">
        <f t="shared" si="6"/>
        <v>18000</v>
      </c>
      <c r="S71" s="299"/>
    </row>
    <row r="72" spans="1:19" x14ac:dyDescent="0.2">
      <c r="A72" s="228"/>
      <c r="B72" s="281"/>
      <c r="C72" s="282">
        <v>1</v>
      </c>
      <c r="D72" s="283"/>
      <c r="E72" s="282">
        <v>2</v>
      </c>
      <c r="F72" s="282">
        <v>40.299999999999997</v>
      </c>
      <c r="G72" s="282">
        <f t="shared" si="0"/>
        <v>40</v>
      </c>
      <c r="H72" s="282">
        <f t="shared" si="1"/>
        <v>3740.5707196029807</v>
      </c>
      <c r="I72" s="282">
        <f t="shared" si="2"/>
        <v>12562.083333333343</v>
      </c>
      <c r="J72" s="282">
        <f t="shared" si="4"/>
        <v>150745.00000000012</v>
      </c>
      <c r="K72" s="282"/>
      <c r="L72" s="240">
        <f t="shared" si="5"/>
        <v>8059.9999999999991</v>
      </c>
      <c r="M72" s="282"/>
      <c r="N72" s="240">
        <f t="shared" si="6"/>
        <v>18000</v>
      </c>
      <c r="S72" s="299"/>
    </row>
    <row r="73" spans="1:19" x14ac:dyDescent="0.2">
      <c r="A73" s="228"/>
      <c r="B73" s="281"/>
      <c r="C73" s="282">
        <v>1</v>
      </c>
      <c r="D73" s="283"/>
      <c r="E73" s="282">
        <v>2</v>
      </c>
      <c r="F73" s="282">
        <v>41.4</v>
      </c>
      <c r="G73" s="282">
        <f t="shared" si="0"/>
        <v>40</v>
      </c>
      <c r="H73" s="282">
        <f t="shared" si="1"/>
        <v>3691.0628019323708</v>
      </c>
      <c r="I73" s="282">
        <f t="shared" si="2"/>
        <v>12734.166666666679</v>
      </c>
      <c r="J73" s="282">
        <f t="shared" si="4"/>
        <v>152810.00000000015</v>
      </c>
      <c r="K73" s="282"/>
      <c r="L73" s="240">
        <f t="shared" si="5"/>
        <v>8280</v>
      </c>
      <c r="M73" s="282"/>
      <c r="N73" s="240">
        <f t="shared" si="6"/>
        <v>18000</v>
      </c>
      <c r="S73" s="299"/>
    </row>
    <row r="74" spans="1:19" x14ac:dyDescent="0.2">
      <c r="A74" s="228"/>
      <c r="B74" s="281"/>
      <c r="C74" s="282">
        <v>1</v>
      </c>
      <c r="D74" s="283"/>
      <c r="E74" s="282">
        <v>2</v>
      </c>
      <c r="F74" s="282">
        <v>45</v>
      </c>
      <c r="G74" s="282">
        <f t="shared" si="0"/>
        <v>40</v>
      </c>
      <c r="H74" s="282">
        <f t="shared" si="1"/>
        <v>3545.9595959595995</v>
      </c>
      <c r="I74" s="282">
        <f t="shared" si="2"/>
        <v>13297.348484848497</v>
      </c>
      <c r="J74" s="282">
        <f t="shared" si="4"/>
        <v>159568.18181818197</v>
      </c>
      <c r="K74" s="282"/>
      <c r="L74" s="240">
        <f t="shared" si="5"/>
        <v>9000</v>
      </c>
      <c r="M74" s="282"/>
      <c r="N74" s="240">
        <f t="shared" si="6"/>
        <v>18000</v>
      </c>
    </row>
    <row r="75" spans="1:19" x14ac:dyDescent="0.2">
      <c r="A75" s="228"/>
      <c r="B75" s="281"/>
      <c r="C75" s="282">
        <v>1</v>
      </c>
      <c r="D75" s="283"/>
      <c r="E75" s="282">
        <v>2</v>
      </c>
      <c r="F75" s="282">
        <v>54</v>
      </c>
      <c r="G75" s="282">
        <f t="shared" si="0"/>
        <v>40</v>
      </c>
      <c r="H75" s="282">
        <f t="shared" si="1"/>
        <v>3267.845117845121</v>
      </c>
      <c r="I75" s="282">
        <f t="shared" si="2"/>
        <v>14705.303030303045</v>
      </c>
      <c r="J75" s="282">
        <f t="shared" si="4"/>
        <v>176463.63636363653</v>
      </c>
      <c r="K75" s="282"/>
      <c r="L75" s="240">
        <f t="shared" si="5"/>
        <v>10800</v>
      </c>
      <c r="M75" s="282"/>
      <c r="N75" s="240">
        <f t="shared" si="6"/>
        <v>18000</v>
      </c>
    </row>
    <row r="76" spans="1:19" x14ac:dyDescent="0.2">
      <c r="A76" s="228"/>
      <c r="B76" s="281"/>
      <c r="C76" s="282">
        <v>1</v>
      </c>
      <c r="D76" s="283"/>
      <c r="E76" s="282">
        <v>4</v>
      </c>
      <c r="F76" s="282">
        <v>81.900000000000006</v>
      </c>
      <c r="G76" s="282">
        <f t="shared" si="0"/>
        <v>49</v>
      </c>
      <c r="H76" s="282">
        <f t="shared" si="1"/>
        <v>3000.4273504273528</v>
      </c>
      <c r="I76" s="282">
        <f t="shared" si="2"/>
        <v>20477.916666666682</v>
      </c>
      <c r="J76" s="282">
        <f t="shared" si="4"/>
        <v>245735.00000000017</v>
      </c>
      <c r="K76" s="282"/>
      <c r="L76" s="240">
        <f t="shared" si="5"/>
        <v>16380.000000000002</v>
      </c>
      <c r="M76" s="282"/>
      <c r="N76" s="240">
        <f t="shared" si="6"/>
        <v>18000</v>
      </c>
    </row>
    <row r="77" spans="1:19" x14ac:dyDescent="0.2">
      <c r="A77" s="228"/>
      <c r="B77" s="281"/>
      <c r="C77" s="282">
        <v>1</v>
      </c>
      <c r="D77" s="283"/>
      <c r="E77" s="282">
        <v>2</v>
      </c>
      <c r="F77" s="282">
        <v>39.299999999999997</v>
      </c>
      <c r="G77" s="282">
        <f t="shared" si="0"/>
        <v>40</v>
      </c>
      <c r="H77" s="282">
        <f t="shared" si="1"/>
        <v>3787.9828822576951</v>
      </c>
      <c r="I77" s="282">
        <f t="shared" si="2"/>
        <v>12405.643939393951</v>
      </c>
      <c r="J77" s="282">
        <f t="shared" si="4"/>
        <v>148867.72727272741</v>
      </c>
      <c r="K77" s="282"/>
      <c r="L77" s="240">
        <f t="shared" si="5"/>
        <v>7859.9999999999991</v>
      </c>
      <c r="M77" s="282"/>
      <c r="N77" s="240">
        <f t="shared" si="6"/>
        <v>18000</v>
      </c>
    </row>
    <row r="78" spans="1:19" x14ac:dyDescent="0.2">
      <c r="A78" s="228"/>
      <c r="B78" s="281"/>
      <c r="C78" s="282">
        <v>1</v>
      </c>
      <c r="D78" s="283"/>
      <c r="E78" s="282">
        <v>2</v>
      </c>
      <c r="F78" s="282">
        <v>39.299999999999997</v>
      </c>
      <c r="G78" s="282">
        <f t="shared" si="0"/>
        <v>40</v>
      </c>
      <c r="H78" s="282">
        <f t="shared" si="1"/>
        <v>3787.9828822576951</v>
      </c>
      <c r="I78" s="282">
        <f t="shared" si="2"/>
        <v>12405.643939393951</v>
      </c>
      <c r="J78" s="282">
        <f t="shared" si="4"/>
        <v>148867.72727272741</v>
      </c>
      <c r="K78" s="282"/>
      <c r="L78" s="240">
        <f t="shared" si="5"/>
        <v>7859.9999999999991</v>
      </c>
      <c r="M78" s="282"/>
      <c r="N78" s="240">
        <f t="shared" si="6"/>
        <v>18000</v>
      </c>
    </row>
    <row r="79" spans="1:19" x14ac:dyDescent="0.2">
      <c r="A79" s="228"/>
      <c r="B79" s="281"/>
      <c r="C79" s="282">
        <v>1</v>
      </c>
      <c r="D79" s="283"/>
      <c r="E79" s="282">
        <v>2</v>
      </c>
      <c r="F79" s="282">
        <v>39.299999999999997</v>
      </c>
      <c r="G79" s="282">
        <f t="shared" si="0"/>
        <v>40</v>
      </c>
      <c r="H79" s="282">
        <f t="shared" si="1"/>
        <v>3787.9828822576951</v>
      </c>
      <c r="I79" s="282">
        <f t="shared" si="2"/>
        <v>12405.643939393951</v>
      </c>
      <c r="J79" s="282">
        <f t="shared" si="4"/>
        <v>148867.72727272741</v>
      </c>
      <c r="K79" s="282"/>
      <c r="L79" s="240">
        <f t="shared" si="5"/>
        <v>7859.9999999999991</v>
      </c>
      <c r="M79" s="282"/>
      <c r="N79" s="240">
        <f t="shared" si="6"/>
        <v>18000</v>
      </c>
    </row>
    <row r="80" spans="1:19" x14ac:dyDescent="0.2">
      <c r="A80" s="228"/>
      <c r="B80" s="281"/>
      <c r="C80" s="282">
        <v>1</v>
      </c>
      <c r="D80" s="283"/>
      <c r="E80" s="282">
        <v>2</v>
      </c>
      <c r="F80" s="282">
        <v>40.299999999999997</v>
      </c>
      <c r="G80" s="282">
        <f t="shared" si="0"/>
        <v>40</v>
      </c>
      <c r="H80" s="282">
        <f t="shared" si="1"/>
        <v>3740.5707196029807</v>
      </c>
      <c r="I80" s="282">
        <f t="shared" si="2"/>
        <v>12562.083333333343</v>
      </c>
      <c r="J80" s="282">
        <f t="shared" si="4"/>
        <v>150745.00000000012</v>
      </c>
      <c r="K80" s="282"/>
      <c r="L80" s="240">
        <f t="shared" si="5"/>
        <v>8059.9999999999991</v>
      </c>
      <c r="M80" s="282"/>
      <c r="N80" s="240">
        <f t="shared" si="6"/>
        <v>18000</v>
      </c>
    </row>
    <row r="81" spans="1:14" x14ac:dyDescent="0.2">
      <c r="A81" s="228"/>
      <c r="B81" s="281"/>
      <c r="C81" s="282">
        <v>1</v>
      </c>
      <c r="D81" s="283"/>
      <c r="E81" s="282">
        <v>2</v>
      </c>
      <c r="F81" s="282">
        <v>41.4</v>
      </c>
      <c r="G81" s="282">
        <f t="shared" si="0"/>
        <v>40</v>
      </c>
      <c r="H81" s="282">
        <f t="shared" si="1"/>
        <v>3691.0628019323708</v>
      </c>
      <c r="I81" s="282">
        <f t="shared" si="2"/>
        <v>12734.166666666679</v>
      </c>
      <c r="J81" s="282">
        <f t="shared" si="4"/>
        <v>152810.00000000015</v>
      </c>
      <c r="K81" s="282"/>
      <c r="L81" s="240">
        <f t="shared" si="5"/>
        <v>8280</v>
      </c>
      <c r="M81" s="282"/>
      <c r="N81" s="240">
        <f t="shared" si="6"/>
        <v>18000</v>
      </c>
    </row>
    <row r="82" spans="1:14" x14ac:dyDescent="0.2">
      <c r="A82" s="228"/>
      <c r="B82" s="281"/>
      <c r="C82" s="282">
        <v>1</v>
      </c>
      <c r="D82" s="283"/>
      <c r="E82" s="282">
        <v>2</v>
      </c>
      <c r="F82" s="282">
        <v>45</v>
      </c>
      <c r="G82" s="282">
        <f t="shared" si="0"/>
        <v>40</v>
      </c>
      <c r="H82" s="282">
        <f t="shared" si="1"/>
        <v>3545.9595959595995</v>
      </c>
      <c r="I82" s="282">
        <f t="shared" si="2"/>
        <v>13297.348484848497</v>
      </c>
      <c r="J82" s="282">
        <f t="shared" si="4"/>
        <v>159568.18181818197</v>
      </c>
      <c r="K82" s="282"/>
      <c r="L82" s="240">
        <f t="shared" si="5"/>
        <v>9000</v>
      </c>
      <c r="M82" s="282"/>
      <c r="N82" s="240">
        <f t="shared" si="6"/>
        <v>18000</v>
      </c>
    </row>
    <row r="83" spans="1:14" x14ac:dyDescent="0.2">
      <c r="A83" s="228"/>
      <c r="B83" s="281"/>
      <c r="C83" s="282">
        <v>1</v>
      </c>
      <c r="D83" s="283"/>
      <c r="E83" s="282">
        <v>2</v>
      </c>
      <c r="F83" s="282">
        <v>54</v>
      </c>
      <c r="G83" s="282">
        <f t="shared" si="0"/>
        <v>40</v>
      </c>
      <c r="H83" s="282">
        <f t="shared" si="1"/>
        <v>3267.845117845121</v>
      </c>
      <c r="I83" s="282">
        <f t="shared" si="2"/>
        <v>14705.303030303045</v>
      </c>
      <c r="J83" s="282">
        <f t="shared" si="4"/>
        <v>176463.63636363653</v>
      </c>
      <c r="K83" s="282"/>
      <c r="L83" s="240">
        <f t="shared" si="5"/>
        <v>10800</v>
      </c>
      <c r="M83" s="282"/>
      <c r="N83" s="240">
        <f t="shared" si="6"/>
        <v>18000</v>
      </c>
    </row>
    <row r="84" spans="1:14" x14ac:dyDescent="0.2">
      <c r="A84" s="228"/>
      <c r="B84" s="281"/>
      <c r="C84" s="282">
        <v>1</v>
      </c>
      <c r="D84" s="283"/>
      <c r="E84" s="282">
        <v>4</v>
      </c>
      <c r="F84" s="282">
        <v>81.900000000000006</v>
      </c>
      <c r="G84" s="282">
        <f t="shared" si="0"/>
        <v>49</v>
      </c>
      <c r="H84" s="282">
        <f t="shared" si="1"/>
        <v>3000.4273504273528</v>
      </c>
      <c r="I84" s="282">
        <f t="shared" si="2"/>
        <v>20477.916666666682</v>
      </c>
      <c r="J84" s="282">
        <f t="shared" si="4"/>
        <v>245735.00000000017</v>
      </c>
      <c r="K84" s="282"/>
      <c r="L84" s="240">
        <f t="shared" si="5"/>
        <v>16380.000000000002</v>
      </c>
      <c r="M84" s="282"/>
      <c r="N84" s="240">
        <f t="shared" si="6"/>
        <v>18000</v>
      </c>
    </row>
    <row r="85" spans="1:14" x14ac:dyDescent="0.2">
      <c r="A85" s="228"/>
      <c r="B85" s="281"/>
      <c r="C85" s="282">
        <v>1</v>
      </c>
      <c r="D85" s="283"/>
      <c r="E85" s="282">
        <v>2</v>
      </c>
      <c r="F85" s="282">
        <v>39.299999999999997</v>
      </c>
      <c r="G85" s="282">
        <f t="shared" si="0"/>
        <v>40</v>
      </c>
      <c r="H85" s="282">
        <f t="shared" si="1"/>
        <v>3787.9828822576951</v>
      </c>
      <c r="I85" s="282">
        <f t="shared" si="2"/>
        <v>12405.643939393951</v>
      </c>
      <c r="J85" s="282">
        <f t="shared" si="4"/>
        <v>148867.72727272741</v>
      </c>
      <c r="K85" s="282"/>
      <c r="L85" s="240">
        <f t="shared" si="5"/>
        <v>7859.9999999999991</v>
      </c>
      <c r="M85" s="282"/>
      <c r="N85" s="240">
        <f t="shared" si="6"/>
        <v>18000</v>
      </c>
    </row>
    <row r="86" spans="1:14" x14ac:dyDescent="0.2">
      <c r="A86" s="228"/>
      <c r="B86" s="281"/>
      <c r="C86" s="282">
        <v>1</v>
      </c>
      <c r="D86" s="283"/>
      <c r="E86" s="282">
        <v>2</v>
      </c>
      <c r="F86" s="282">
        <v>39.299999999999997</v>
      </c>
      <c r="G86" s="282">
        <f t="shared" si="0"/>
        <v>40</v>
      </c>
      <c r="H86" s="282">
        <f t="shared" si="1"/>
        <v>3787.9828822576951</v>
      </c>
      <c r="I86" s="282">
        <f t="shared" si="2"/>
        <v>12405.643939393951</v>
      </c>
      <c r="J86" s="282">
        <f t="shared" si="4"/>
        <v>148867.72727272741</v>
      </c>
      <c r="K86" s="282"/>
      <c r="L86" s="240">
        <f t="shared" si="5"/>
        <v>7859.9999999999991</v>
      </c>
      <c r="M86" s="282"/>
      <c r="N86" s="240">
        <f t="shared" si="6"/>
        <v>18000</v>
      </c>
    </row>
    <row r="87" spans="1:14" x14ac:dyDescent="0.2">
      <c r="A87" s="228"/>
      <c r="B87" s="281"/>
      <c r="C87" s="282">
        <v>1</v>
      </c>
      <c r="D87" s="283"/>
      <c r="E87" s="282">
        <v>2</v>
      </c>
      <c r="F87" s="282">
        <v>39.299999999999997</v>
      </c>
      <c r="G87" s="282">
        <f t="shared" si="0"/>
        <v>40</v>
      </c>
      <c r="H87" s="282">
        <f t="shared" si="1"/>
        <v>3787.9828822576951</v>
      </c>
      <c r="I87" s="282">
        <f t="shared" si="2"/>
        <v>12405.643939393951</v>
      </c>
      <c r="J87" s="282">
        <f t="shared" si="4"/>
        <v>148867.72727272741</v>
      </c>
      <c r="K87" s="282"/>
      <c r="L87" s="240">
        <f t="shared" si="5"/>
        <v>7859.9999999999991</v>
      </c>
      <c r="M87" s="282"/>
      <c r="N87" s="240">
        <f t="shared" si="6"/>
        <v>18000</v>
      </c>
    </row>
    <row r="88" spans="1:14" x14ac:dyDescent="0.2">
      <c r="A88" s="228"/>
      <c r="B88" s="281"/>
      <c r="C88" s="282">
        <v>1</v>
      </c>
      <c r="D88" s="283"/>
      <c r="E88" s="282">
        <v>2</v>
      </c>
      <c r="F88" s="282">
        <v>40.299999999999997</v>
      </c>
      <c r="G88" s="282">
        <f t="shared" si="0"/>
        <v>40</v>
      </c>
      <c r="H88" s="282">
        <f t="shared" si="1"/>
        <v>3740.5707196029807</v>
      </c>
      <c r="I88" s="282">
        <f t="shared" si="2"/>
        <v>12562.083333333343</v>
      </c>
      <c r="J88" s="282">
        <f t="shared" si="4"/>
        <v>150745.00000000012</v>
      </c>
      <c r="K88" s="282"/>
      <c r="L88" s="240">
        <f t="shared" si="5"/>
        <v>8059.9999999999991</v>
      </c>
      <c r="M88" s="282"/>
      <c r="N88" s="240">
        <f t="shared" si="6"/>
        <v>18000</v>
      </c>
    </row>
    <row r="89" spans="1:14" x14ac:dyDescent="0.2">
      <c r="A89" s="228"/>
      <c r="B89" s="281"/>
      <c r="C89" s="282">
        <v>1</v>
      </c>
      <c r="D89" s="283"/>
      <c r="E89" s="282">
        <v>2</v>
      </c>
      <c r="F89" s="282">
        <v>41.4</v>
      </c>
      <c r="G89" s="282">
        <f t="shared" si="0"/>
        <v>40</v>
      </c>
      <c r="H89" s="282">
        <f t="shared" si="1"/>
        <v>3691.0628019323708</v>
      </c>
      <c r="I89" s="282">
        <f t="shared" si="2"/>
        <v>12734.166666666679</v>
      </c>
      <c r="J89" s="282">
        <f t="shared" si="4"/>
        <v>152810.00000000015</v>
      </c>
      <c r="K89" s="282"/>
      <c r="L89" s="240">
        <f t="shared" si="5"/>
        <v>8280</v>
      </c>
      <c r="M89" s="282"/>
      <c r="N89" s="240">
        <f t="shared" si="6"/>
        <v>18000</v>
      </c>
    </row>
    <row r="90" spans="1:14" x14ac:dyDescent="0.2">
      <c r="A90" s="228"/>
      <c r="B90" s="281"/>
      <c r="C90" s="282">
        <v>1</v>
      </c>
      <c r="D90" s="283"/>
      <c r="E90" s="282">
        <v>2</v>
      </c>
      <c r="F90" s="282">
        <v>45</v>
      </c>
      <c r="G90" s="282">
        <f t="shared" si="0"/>
        <v>40</v>
      </c>
      <c r="H90" s="282">
        <f t="shared" si="1"/>
        <v>3545.9595959595995</v>
      </c>
      <c r="I90" s="282">
        <f t="shared" si="2"/>
        <v>13297.348484848497</v>
      </c>
      <c r="J90" s="282">
        <f t="shared" si="4"/>
        <v>159568.18181818197</v>
      </c>
      <c r="K90" s="282"/>
      <c r="L90" s="240">
        <f t="shared" si="5"/>
        <v>9000</v>
      </c>
      <c r="M90" s="282"/>
      <c r="N90" s="240">
        <f t="shared" si="6"/>
        <v>18000</v>
      </c>
    </row>
    <row r="91" spans="1:14" x14ac:dyDescent="0.2">
      <c r="A91" s="228"/>
      <c r="B91" s="281"/>
      <c r="C91" s="282">
        <v>1</v>
      </c>
      <c r="D91" s="283"/>
      <c r="E91" s="282">
        <v>2</v>
      </c>
      <c r="F91" s="282">
        <v>54</v>
      </c>
      <c r="G91" s="282">
        <f t="shared" si="0"/>
        <v>40</v>
      </c>
      <c r="H91" s="282">
        <f t="shared" si="1"/>
        <v>3267.845117845121</v>
      </c>
      <c r="I91" s="282">
        <f t="shared" si="2"/>
        <v>14705.303030303045</v>
      </c>
      <c r="J91" s="282">
        <f t="shared" si="4"/>
        <v>176463.63636363653</v>
      </c>
      <c r="K91" s="282"/>
      <c r="L91" s="240">
        <f t="shared" si="5"/>
        <v>10800</v>
      </c>
      <c r="M91" s="282"/>
      <c r="N91" s="240">
        <f t="shared" si="6"/>
        <v>18000</v>
      </c>
    </row>
    <row r="92" spans="1:14" x14ac:dyDescent="0.2">
      <c r="A92" s="228"/>
      <c r="B92" s="281"/>
      <c r="C92" s="282">
        <v>1</v>
      </c>
      <c r="D92" s="283"/>
      <c r="E92" s="282">
        <v>4</v>
      </c>
      <c r="F92" s="282">
        <v>81.900000000000006</v>
      </c>
      <c r="G92" s="282">
        <f t="shared" si="0"/>
        <v>49</v>
      </c>
      <c r="H92" s="282">
        <f t="shared" si="1"/>
        <v>3000.4273504273528</v>
      </c>
      <c r="I92" s="282">
        <f t="shared" si="2"/>
        <v>20477.916666666682</v>
      </c>
      <c r="J92" s="282">
        <f t="shared" si="4"/>
        <v>245735.00000000017</v>
      </c>
      <c r="K92" s="282"/>
      <c r="L92" s="240">
        <f t="shared" si="5"/>
        <v>16380.000000000002</v>
      </c>
      <c r="M92" s="282"/>
      <c r="N92" s="240">
        <f t="shared" si="6"/>
        <v>18000</v>
      </c>
    </row>
    <row r="93" spans="1:14" x14ac:dyDescent="0.2">
      <c r="A93" s="228"/>
      <c r="B93" s="281"/>
      <c r="C93" s="282">
        <v>1</v>
      </c>
      <c r="D93" s="283"/>
      <c r="E93" s="282">
        <v>2</v>
      </c>
      <c r="F93" s="282">
        <v>39.299999999999997</v>
      </c>
      <c r="G93" s="282">
        <f t="shared" ref="G93:G156" si="7">IF(E93=1,34,IF(E93=2,40,IF(E93=3,44,IF(E93=4,49,IF(E93=5,52,IF(E93=6,55,IF(E93=1.5,27,IF(E93=2.5,34))))))))</f>
        <v>40</v>
      </c>
      <c r="H93" s="282">
        <f t="shared" ref="H93:H156" si="8">+$H$3*(F93+G93)/(1.57142857142857)/F93</f>
        <v>3787.9828822576951</v>
      </c>
      <c r="I93" s="282">
        <f t="shared" ref="I93:I156" si="9">+F93*H93/12</f>
        <v>12405.643939393951</v>
      </c>
      <c r="J93" s="282">
        <f t="shared" si="4"/>
        <v>148867.72727272741</v>
      </c>
      <c r="K93" s="282"/>
      <c r="L93" s="240">
        <f t="shared" si="5"/>
        <v>7859.9999999999991</v>
      </c>
      <c r="M93" s="282"/>
      <c r="N93" s="240">
        <f t="shared" ref="N93:N124" si="10">$H$6*12</f>
        <v>18000</v>
      </c>
    </row>
    <row r="94" spans="1:14" x14ac:dyDescent="0.2">
      <c r="A94" s="228"/>
      <c r="B94" s="281"/>
      <c r="C94" s="282">
        <v>1</v>
      </c>
      <c r="D94" s="283"/>
      <c r="E94" s="282">
        <v>2</v>
      </c>
      <c r="F94" s="282">
        <v>39.299999999999997</v>
      </c>
      <c r="G94" s="282">
        <f t="shared" si="7"/>
        <v>40</v>
      </c>
      <c r="H94" s="282">
        <f t="shared" si="8"/>
        <v>3787.9828822576951</v>
      </c>
      <c r="I94" s="282">
        <f t="shared" si="9"/>
        <v>12405.643939393951</v>
      </c>
      <c r="J94" s="282">
        <f t="shared" ref="J94:J157" si="11">+I94*12</f>
        <v>148867.72727272741</v>
      </c>
      <c r="K94" s="282"/>
      <c r="L94" s="240">
        <f t="shared" ref="L94:L157" si="12">F94*$H$4</f>
        <v>7859.9999999999991</v>
      </c>
      <c r="M94" s="282"/>
      <c r="N94" s="240">
        <f t="shared" si="10"/>
        <v>18000</v>
      </c>
    </row>
    <row r="95" spans="1:14" x14ac:dyDescent="0.2">
      <c r="A95" s="228"/>
      <c r="B95" s="281"/>
      <c r="C95" s="282">
        <v>1</v>
      </c>
      <c r="D95" s="283"/>
      <c r="E95" s="282">
        <v>2</v>
      </c>
      <c r="F95" s="282">
        <v>39.299999999999997</v>
      </c>
      <c r="G95" s="282">
        <f t="shared" si="7"/>
        <v>40</v>
      </c>
      <c r="H95" s="282">
        <f t="shared" si="8"/>
        <v>3787.9828822576951</v>
      </c>
      <c r="I95" s="282">
        <f t="shared" si="9"/>
        <v>12405.643939393951</v>
      </c>
      <c r="J95" s="282">
        <f t="shared" si="11"/>
        <v>148867.72727272741</v>
      </c>
      <c r="K95" s="282"/>
      <c r="L95" s="240">
        <f t="shared" si="12"/>
        <v>7859.9999999999991</v>
      </c>
      <c r="M95" s="282"/>
      <c r="N95" s="240">
        <f t="shared" si="10"/>
        <v>18000</v>
      </c>
    </row>
    <row r="96" spans="1:14" x14ac:dyDescent="0.2">
      <c r="A96" s="228"/>
      <c r="B96" s="281"/>
      <c r="C96" s="282">
        <v>1</v>
      </c>
      <c r="D96" s="283"/>
      <c r="E96" s="282">
        <v>2</v>
      </c>
      <c r="F96" s="282">
        <v>40.299999999999997</v>
      </c>
      <c r="G96" s="282">
        <f t="shared" si="7"/>
        <v>40</v>
      </c>
      <c r="H96" s="282">
        <f t="shared" si="8"/>
        <v>3740.5707196029807</v>
      </c>
      <c r="I96" s="282">
        <f t="shared" si="9"/>
        <v>12562.083333333343</v>
      </c>
      <c r="J96" s="282">
        <f t="shared" si="11"/>
        <v>150745.00000000012</v>
      </c>
      <c r="K96" s="282"/>
      <c r="L96" s="240">
        <f t="shared" si="12"/>
        <v>8059.9999999999991</v>
      </c>
      <c r="M96" s="282"/>
      <c r="N96" s="240">
        <f t="shared" si="10"/>
        <v>18000</v>
      </c>
    </row>
    <row r="97" spans="1:14" x14ac:dyDescent="0.2">
      <c r="A97" s="228"/>
      <c r="B97" s="281"/>
      <c r="C97" s="282">
        <v>1</v>
      </c>
      <c r="D97" s="283"/>
      <c r="E97" s="282">
        <v>2</v>
      </c>
      <c r="F97" s="282">
        <v>41.4</v>
      </c>
      <c r="G97" s="282">
        <f t="shared" si="7"/>
        <v>40</v>
      </c>
      <c r="H97" s="282">
        <f t="shared" si="8"/>
        <v>3691.0628019323708</v>
      </c>
      <c r="I97" s="282">
        <f t="shared" si="9"/>
        <v>12734.166666666679</v>
      </c>
      <c r="J97" s="282">
        <f t="shared" si="11"/>
        <v>152810.00000000015</v>
      </c>
      <c r="K97" s="282"/>
      <c r="L97" s="240">
        <f t="shared" si="12"/>
        <v>8280</v>
      </c>
      <c r="M97" s="282"/>
      <c r="N97" s="240">
        <f t="shared" si="10"/>
        <v>18000</v>
      </c>
    </row>
    <row r="98" spans="1:14" x14ac:dyDescent="0.2">
      <c r="A98" s="228"/>
      <c r="B98" s="281"/>
      <c r="C98" s="282">
        <v>1</v>
      </c>
      <c r="D98" s="283"/>
      <c r="E98" s="282">
        <v>2</v>
      </c>
      <c r="F98" s="282">
        <v>45</v>
      </c>
      <c r="G98" s="282">
        <f t="shared" si="7"/>
        <v>40</v>
      </c>
      <c r="H98" s="282">
        <f t="shared" si="8"/>
        <v>3545.9595959595995</v>
      </c>
      <c r="I98" s="282">
        <f t="shared" si="9"/>
        <v>13297.348484848497</v>
      </c>
      <c r="J98" s="282">
        <f t="shared" si="11"/>
        <v>159568.18181818197</v>
      </c>
      <c r="K98" s="282"/>
      <c r="L98" s="240">
        <f t="shared" si="12"/>
        <v>9000</v>
      </c>
      <c r="M98" s="282"/>
      <c r="N98" s="240">
        <f t="shared" si="10"/>
        <v>18000</v>
      </c>
    </row>
    <row r="99" spans="1:14" x14ac:dyDescent="0.2">
      <c r="A99" s="228"/>
      <c r="B99" s="281"/>
      <c r="C99" s="282">
        <v>1</v>
      </c>
      <c r="D99" s="283"/>
      <c r="E99" s="282">
        <v>2</v>
      </c>
      <c r="F99" s="282">
        <v>54</v>
      </c>
      <c r="G99" s="282">
        <f t="shared" si="7"/>
        <v>40</v>
      </c>
      <c r="H99" s="282">
        <f t="shared" si="8"/>
        <v>3267.845117845121</v>
      </c>
      <c r="I99" s="282">
        <f t="shared" si="9"/>
        <v>14705.303030303045</v>
      </c>
      <c r="J99" s="282">
        <f t="shared" si="11"/>
        <v>176463.63636363653</v>
      </c>
      <c r="K99" s="282"/>
      <c r="L99" s="240">
        <f t="shared" si="12"/>
        <v>10800</v>
      </c>
      <c r="M99" s="282"/>
      <c r="N99" s="240">
        <f t="shared" si="10"/>
        <v>18000</v>
      </c>
    </row>
    <row r="100" spans="1:14" x14ac:dyDescent="0.2">
      <c r="A100" s="228"/>
      <c r="B100" s="281"/>
      <c r="C100" s="282">
        <v>1</v>
      </c>
      <c r="D100" s="283"/>
      <c r="E100" s="282">
        <v>4</v>
      </c>
      <c r="F100" s="282">
        <v>81.900000000000006</v>
      </c>
      <c r="G100" s="282">
        <f t="shared" si="7"/>
        <v>49</v>
      </c>
      <c r="H100" s="282">
        <f t="shared" si="8"/>
        <v>3000.4273504273528</v>
      </c>
      <c r="I100" s="282">
        <f t="shared" si="9"/>
        <v>20477.916666666682</v>
      </c>
      <c r="J100" s="282">
        <f t="shared" si="11"/>
        <v>245735.00000000017</v>
      </c>
      <c r="K100" s="282"/>
      <c r="L100" s="240">
        <f t="shared" si="12"/>
        <v>16380.000000000002</v>
      </c>
      <c r="M100" s="282"/>
      <c r="N100" s="240">
        <f t="shared" si="10"/>
        <v>18000</v>
      </c>
    </row>
    <row r="101" spans="1:14" x14ac:dyDescent="0.2">
      <c r="A101" s="228"/>
      <c r="B101" s="281"/>
      <c r="C101" s="282">
        <v>1</v>
      </c>
      <c r="D101" s="283"/>
      <c r="E101" s="282">
        <v>2</v>
      </c>
      <c r="F101" s="282">
        <v>39.299999999999997</v>
      </c>
      <c r="G101" s="282">
        <f t="shared" si="7"/>
        <v>40</v>
      </c>
      <c r="H101" s="282">
        <f t="shared" si="8"/>
        <v>3787.9828822576951</v>
      </c>
      <c r="I101" s="282">
        <f t="shared" si="9"/>
        <v>12405.643939393951</v>
      </c>
      <c r="J101" s="282">
        <f t="shared" si="11"/>
        <v>148867.72727272741</v>
      </c>
      <c r="K101" s="282"/>
      <c r="L101" s="240">
        <f t="shared" si="12"/>
        <v>7859.9999999999991</v>
      </c>
      <c r="M101" s="282"/>
      <c r="N101" s="240">
        <f t="shared" si="10"/>
        <v>18000</v>
      </c>
    </row>
    <row r="102" spans="1:14" x14ac:dyDescent="0.2">
      <c r="A102" s="228"/>
      <c r="B102" s="281"/>
      <c r="C102" s="282">
        <v>1</v>
      </c>
      <c r="D102" s="283"/>
      <c r="E102" s="282">
        <v>2</v>
      </c>
      <c r="F102" s="282">
        <v>39.299999999999997</v>
      </c>
      <c r="G102" s="282">
        <f t="shared" si="7"/>
        <v>40</v>
      </c>
      <c r="H102" s="282">
        <f t="shared" si="8"/>
        <v>3787.9828822576951</v>
      </c>
      <c r="I102" s="282">
        <f t="shared" si="9"/>
        <v>12405.643939393951</v>
      </c>
      <c r="J102" s="282">
        <f t="shared" si="11"/>
        <v>148867.72727272741</v>
      </c>
      <c r="K102" s="282"/>
      <c r="L102" s="240">
        <f t="shared" si="12"/>
        <v>7859.9999999999991</v>
      </c>
      <c r="M102" s="282"/>
      <c r="N102" s="240">
        <f t="shared" si="10"/>
        <v>18000</v>
      </c>
    </row>
    <row r="103" spans="1:14" x14ac:dyDescent="0.2">
      <c r="A103" s="228"/>
      <c r="B103" s="281"/>
      <c r="C103" s="282">
        <v>1</v>
      </c>
      <c r="D103" s="283"/>
      <c r="E103" s="282">
        <v>2</v>
      </c>
      <c r="F103" s="282">
        <v>39.299999999999997</v>
      </c>
      <c r="G103" s="282">
        <f t="shared" si="7"/>
        <v>40</v>
      </c>
      <c r="H103" s="282">
        <f t="shared" si="8"/>
        <v>3787.9828822576951</v>
      </c>
      <c r="I103" s="282">
        <f t="shared" si="9"/>
        <v>12405.643939393951</v>
      </c>
      <c r="J103" s="282">
        <f t="shared" si="11"/>
        <v>148867.72727272741</v>
      </c>
      <c r="K103" s="282"/>
      <c r="L103" s="240">
        <f t="shared" si="12"/>
        <v>7859.9999999999991</v>
      </c>
      <c r="M103" s="282"/>
      <c r="N103" s="240">
        <f t="shared" si="10"/>
        <v>18000</v>
      </c>
    </row>
    <row r="104" spans="1:14" x14ac:dyDescent="0.2">
      <c r="A104" s="228"/>
      <c r="B104" s="281"/>
      <c r="C104" s="282">
        <v>1</v>
      </c>
      <c r="D104" s="283"/>
      <c r="E104" s="282">
        <v>2</v>
      </c>
      <c r="F104" s="282">
        <v>40.299999999999997</v>
      </c>
      <c r="G104" s="282">
        <f t="shared" si="7"/>
        <v>40</v>
      </c>
      <c r="H104" s="282">
        <f t="shared" si="8"/>
        <v>3740.5707196029807</v>
      </c>
      <c r="I104" s="282">
        <f t="shared" si="9"/>
        <v>12562.083333333343</v>
      </c>
      <c r="J104" s="282">
        <f t="shared" si="11"/>
        <v>150745.00000000012</v>
      </c>
      <c r="K104" s="282"/>
      <c r="L104" s="240">
        <f t="shared" si="12"/>
        <v>8059.9999999999991</v>
      </c>
      <c r="M104" s="282"/>
      <c r="N104" s="240">
        <f t="shared" si="10"/>
        <v>18000</v>
      </c>
    </row>
    <row r="105" spans="1:14" x14ac:dyDescent="0.2">
      <c r="A105" s="228"/>
      <c r="B105" s="281"/>
      <c r="C105" s="282">
        <v>1</v>
      </c>
      <c r="D105" s="283"/>
      <c r="E105" s="282">
        <v>2</v>
      </c>
      <c r="F105" s="282">
        <v>41.4</v>
      </c>
      <c r="G105" s="282">
        <f t="shared" si="7"/>
        <v>40</v>
      </c>
      <c r="H105" s="282">
        <f t="shared" si="8"/>
        <v>3691.0628019323708</v>
      </c>
      <c r="I105" s="282">
        <f t="shared" si="9"/>
        <v>12734.166666666679</v>
      </c>
      <c r="J105" s="282">
        <f t="shared" si="11"/>
        <v>152810.00000000015</v>
      </c>
      <c r="K105" s="282"/>
      <c r="L105" s="240">
        <f t="shared" si="12"/>
        <v>8280</v>
      </c>
      <c r="M105" s="282"/>
      <c r="N105" s="240">
        <f t="shared" si="10"/>
        <v>18000</v>
      </c>
    </row>
    <row r="106" spans="1:14" x14ac:dyDescent="0.2">
      <c r="A106" s="228"/>
      <c r="B106" s="281"/>
      <c r="C106" s="282">
        <v>1</v>
      </c>
      <c r="D106" s="283"/>
      <c r="E106" s="282">
        <v>2</v>
      </c>
      <c r="F106" s="282">
        <v>45</v>
      </c>
      <c r="G106" s="282">
        <f t="shared" si="7"/>
        <v>40</v>
      </c>
      <c r="H106" s="282">
        <f t="shared" si="8"/>
        <v>3545.9595959595995</v>
      </c>
      <c r="I106" s="282">
        <f t="shared" si="9"/>
        <v>13297.348484848497</v>
      </c>
      <c r="J106" s="282">
        <f t="shared" si="11"/>
        <v>159568.18181818197</v>
      </c>
      <c r="K106" s="282"/>
      <c r="L106" s="240">
        <f t="shared" si="12"/>
        <v>9000</v>
      </c>
      <c r="M106" s="282"/>
      <c r="N106" s="240">
        <f t="shared" si="10"/>
        <v>18000</v>
      </c>
    </row>
    <row r="107" spans="1:14" x14ac:dyDescent="0.2">
      <c r="A107" s="228"/>
      <c r="B107" s="281"/>
      <c r="C107" s="282">
        <v>1</v>
      </c>
      <c r="D107" s="283"/>
      <c r="E107" s="282">
        <v>2</v>
      </c>
      <c r="F107" s="282">
        <v>54</v>
      </c>
      <c r="G107" s="282">
        <f t="shared" si="7"/>
        <v>40</v>
      </c>
      <c r="H107" s="282">
        <f t="shared" si="8"/>
        <v>3267.845117845121</v>
      </c>
      <c r="I107" s="282">
        <f t="shared" si="9"/>
        <v>14705.303030303045</v>
      </c>
      <c r="J107" s="282">
        <f t="shared" si="11"/>
        <v>176463.63636363653</v>
      </c>
      <c r="K107" s="282"/>
      <c r="L107" s="240">
        <f t="shared" si="12"/>
        <v>10800</v>
      </c>
      <c r="M107" s="282"/>
      <c r="N107" s="240">
        <f t="shared" si="10"/>
        <v>18000</v>
      </c>
    </row>
    <row r="108" spans="1:14" x14ac:dyDescent="0.2">
      <c r="A108" s="228"/>
      <c r="B108" s="281"/>
      <c r="C108" s="282">
        <v>1</v>
      </c>
      <c r="D108" s="283"/>
      <c r="E108" s="282">
        <v>4</v>
      </c>
      <c r="F108" s="282">
        <v>81.900000000000006</v>
      </c>
      <c r="G108" s="282">
        <f t="shared" si="7"/>
        <v>49</v>
      </c>
      <c r="H108" s="282">
        <f t="shared" si="8"/>
        <v>3000.4273504273528</v>
      </c>
      <c r="I108" s="282">
        <f t="shared" si="9"/>
        <v>20477.916666666682</v>
      </c>
      <c r="J108" s="282">
        <f t="shared" si="11"/>
        <v>245735.00000000017</v>
      </c>
      <c r="K108" s="282"/>
      <c r="L108" s="240">
        <f t="shared" si="12"/>
        <v>16380.000000000002</v>
      </c>
      <c r="M108" s="282"/>
      <c r="N108" s="240">
        <f t="shared" si="10"/>
        <v>18000</v>
      </c>
    </row>
    <row r="109" spans="1:14" x14ac:dyDescent="0.2">
      <c r="A109" s="228"/>
      <c r="B109" s="281"/>
      <c r="C109" s="282">
        <v>1</v>
      </c>
      <c r="D109" s="283"/>
      <c r="E109" s="282">
        <v>2</v>
      </c>
      <c r="F109" s="282">
        <v>39</v>
      </c>
      <c r="G109" s="282">
        <f t="shared" si="7"/>
        <v>40</v>
      </c>
      <c r="H109" s="282">
        <f t="shared" si="8"/>
        <v>3802.6806526806563</v>
      </c>
      <c r="I109" s="282">
        <f t="shared" si="9"/>
        <v>12358.712121212133</v>
      </c>
      <c r="J109" s="282">
        <f t="shared" si="11"/>
        <v>148304.54545454559</v>
      </c>
      <c r="K109" s="282"/>
      <c r="L109" s="240">
        <f t="shared" si="12"/>
        <v>7800</v>
      </c>
      <c r="M109" s="282"/>
      <c r="N109" s="240">
        <f t="shared" si="10"/>
        <v>18000</v>
      </c>
    </row>
    <row r="110" spans="1:14" x14ac:dyDescent="0.2">
      <c r="A110" s="228"/>
      <c r="B110" s="281"/>
      <c r="C110" s="282">
        <v>1</v>
      </c>
      <c r="D110" s="283"/>
      <c r="E110" s="282">
        <v>2</v>
      </c>
      <c r="F110" s="282">
        <v>39.299999999999997</v>
      </c>
      <c r="G110" s="282">
        <f t="shared" si="7"/>
        <v>40</v>
      </c>
      <c r="H110" s="282">
        <f t="shared" si="8"/>
        <v>3787.9828822576951</v>
      </c>
      <c r="I110" s="282">
        <f t="shared" si="9"/>
        <v>12405.643939393951</v>
      </c>
      <c r="J110" s="282">
        <f t="shared" si="11"/>
        <v>148867.72727272741</v>
      </c>
      <c r="K110" s="282"/>
      <c r="L110" s="240">
        <f t="shared" si="12"/>
        <v>7859.9999999999991</v>
      </c>
      <c r="M110" s="282"/>
      <c r="N110" s="240">
        <f t="shared" si="10"/>
        <v>18000</v>
      </c>
    </row>
    <row r="111" spans="1:14" x14ac:dyDescent="0.2">
      <c r="A111" s="228"/>
      <c r="B111" s="281"/>
      <c r="C111" s="282">
        <v>1</v>
      </c>
      <c r="D111" s="283"/>
      <c r="E111" s="282">
        <v>2</v>
      </c>
      <c r="F111" s="282">
        <v>39.299999999999997</v>
      </c>
      <c r="G111" s="282">
        <f t="shared" si="7"/>
        <v>40</v>
      </c>
      <c r="H111" s="282">
        <f t="shared" si="8"/>
        <v>3787.9828822576951</v>
      </c>
      <c r="I111" s="282">
        <f t="shared" si="9"/>
        <v>12405.643939393951</v>
      </c>
      <c r="J111" s="282">
        <f t="shared" si="11"/>
        <v>148867.72727272741</v>
      </c>
      <c r="K111" s="282"/>
      <c r="L111" s="240">
        <f t="shared" si="12"/>
        <v>7859.9999999999991</v>
      </c>
      <c r="M111" s="282"/>
      <c r="N111" s="240">
        <f t="shared" si="10"/>
        <v>18000</v>
      </c>
    </row>
    <row r="112" spans="1:14" x14ac:dyDescent="0.2">
      <c r="A112" s="228"/>
      <c r="B112" s="281"/>
      <c r="C112" s="282">
        <v>1</v>
      </c>
      <c r="D112" s="283"/>
      <c r="E112" s="282">
        <v>2</v>
      </c>
      <c r="F112" s="282">
        <v>39.299999999999997</v>
      </c>
      <c r="G112" s="282">
        <f t="shared" si="7"/>
        <v>40</v>
      </c>
      <c r="H112" s="282">
        <f t="shared" si="8"/>
        <v>3787.9828822576951</v>
      </c>
      <c r="I112" s="282">
        <f t="shared" si="9"/>
        <v>12405.643939393951</v>
      </c>
      <c r="J112" s="282">
        <f t="shared" si="11"/>
        <v>148867.72727272741</v>
      </c>
      <c r="K112" s="282"/>
      <c r="L112" s="240">
        <f t="shared" si="12"/>
        <v>7859.9999999999991</v>
      </c>
      <c r="M112" s="282"/>
      <c r="N112" s="240">
        <f t="shared" si="10"/>
        <v>18000</v>
      </c>
    </row>
    <row r="113" spans="1:14" x14ac:dyDescent="0.2">
      <c r="A113" s="228"/>
      <c r="B113" s="281"/>
      <c r="C113" s="282">
        <v>1</v>
      </c>
      <c r="D113" s="283"/>
      <c r="E113" s="282">
        <v>2</v>
      </c>
      <c r="F113" s="282">
        <v>41.4</v>
      </c>
      <c r="G113" s="282">
        <f t="shared" si="7"/>
        <v>40</v>
      </c>
      <c r="H113" s="282">
        <f t="shared" si="8"/>
        <v>3691.0628019323708</v>
      </c>
      <c r="I113" s="282">
        <f t="shared" si="9"/>
        <v>12734.166666666679</v>
      </c>
      <c r="J113" s="282">
        <f t="shared" si="11"/>
        <v>152810.00000000015</v>
      </c>
      <c r="K113" s="282"/>
      <c r="L113" s="240">
        <f t="shared" si="12"/>
        <v>8280</v>
      </c>
      <c r="M113" s="282"/>
      <c r="N113" s="240">
        <f t="shared" si="10"/>
        <v>18000</v>
      </c>
    </row>
    <row r="114" spans="1:14" x14ac:dyDescent="0.2">
      <c r="A114" s="228"/>
      <c r="B114" s="281"/>
      <c r="C114" s="282">
        <v>1</v>
      </c>
      <c r="D114" s="283"/>
      <c r="E114" s="282">
        <v>2</v>
      </c>
      <c r="F114" s="282">
        <v>45</v>
      </c>
      <c r="G114" s="282">
        <f t="shared" si="7"/>
        <v>40</v>
      </c>
      <c r="H114" s="282">
        <f t="shared" si="8"/>
        <v>3545.9595959595995</v>
      </c>
      <c r="I114" s="282">
        <f t="shared" si="9"/>
        <v>13297.348484848497</v>
      </c>
      <c r="J114" s="282">
        <f t="shared" si="11"/>
        <v>159568.18181818197</v>
      </c>
      <c r="K114" s="282"/>
      <c r="L114" s="240">
        <f t="shared" si="12"/>
        <v>9000</v>
      </c>
      <c r="M114" s="282"/>
      <c r="N114" s="240">
        <f t="shared" si="10"/>
        <v>18000</v>
      </c>
    </row>
    <row r="115" spans="1:14" x14ac:dyDescent="0.2">
      <c r="A115" s="228"/>
      <c r="B115" s="281"/>
      <c r="C115" s="282">
        <v>1</v>
      </c>
      <c r="D115" s="283"/>
      <c r="E115" s="282">
        <v>4</v>
      </c>
      <c r="F115" s="282">
        <v>81.900000000000006</v>
      </c>
      <c r="G115" s="282">
        <f t="shared" si="7"/>
        <v>49</v>
      </c>
      <c r="H115" s="282">
        <f t="shared" si="8"/>
        <v>3000.4273504273528</v>
      </c>
      <c r="I115" s="282">
        <f t="shared" si="9"/>
        <v>20477.916666666682</v>
      </c>
      <c r="J115" s="282">
        <f t="shared" si="11"/>
        <v>245735.00000000017</v>
      </c>
      <c r="K115" s="282"/>
      <c r="L115" s="240">
        <f t="shared" si="12"/>
        <v>16380.000000000002</v>
      </c>
      <c r="M115" s="282"/>
      <c r="N115" s="240">
        <f t="shared" si="10"/>
        <v>18000</v>
      </c>
    </row>
    <row r="116" spans="1:14" x14ac:dyDescent="0.2">
      <c r="A116" s="228"/>
      <c r="B116" s="281"/>
      <c r="C116" s="282">
        <v>1</v>
      </c>
      <c r="D116" s="283"/>
      <c r="E116" s="282">
        <v>2</v>
      </c>
      <c r="F116" s="282">
        <v>39</v>
      </c>
      <c r="G116" s="282">
        <f t="shared" si="7"/>
        <v>40</v>
      </c>
      <c r="H116" s="282">
        <f t="shared" si="8"/>
        <v>3802.6806526806563</v>
      </c>
      <c r="I116" s="282">
        <f t="shared" si="9"/>
        <v>12358.712121212133</v>
      </c>
      <c r="J116" s="282">
        <f t="shared" si="11"/>
        <v>148304.54545454559</v>
      </c>
      <c r="K116" s="282"/>
      <c r="L116" s="240">
        <f t="shared" si="12"/>
        <v>7800</v>
      </c>
      <c r="M116" s="282"/>
      <c r="N116" s="240">
        <f t="shared" si="10"/>
        <v>18000</v>
      </c>
    </row>
    <row r="117" spans="1:14" ht="11.25" customHeight="1" x14ac:dyDescent="0.2">
      <c r="B117" s="281"/>
      <c r="C117" s="282">
        <v>1</v>
      </c>
      <c r="D117" s="283"/>
      <c r="E117" s="282">
        <v>4</v>
      </c>
      <c r="F117" s="282">
        <v>81.900000000000006</v>
      </c>
      <c r="G117" s="282">
        <f t="shared" si="7"/>
        <v>49</v>
      </c>
      <c r="H117" s="282">
        <f t="shared" si="8"/>
        <v>3000.4273504273528</v>
      </c>
      <c r="I117" s="282">
        <f t="shared" si="9"/>
        <v>20477.916666666682</v>
      </c>
      <c r="J117" s="282">
        <f t="shared" si="11"/>
        <v>245735.00000000017</v>
      </c>
      <c r="K117" s="282"/>
      <c r="L117" s="240">
        <f t="shared" si="12"/>
        <v>16380.000000000002</v>
      </c>
      <c r="M117" s="282"/>
      <c r="N117" s="240">
        <f t="shared" si="10"/>
        <v>18000</v>
      </c>
    </row>
    <row r="118" spans="1:14" ht="11.25" customHeight="1" x14ac:dyDescent="0.2">
      <c r="B118" s="281"/>
      <c r="C118" s="282">
        <v>1</v>
      </c>
      <c r="D118" s="283"/>
      <c r="E118" s="282">
        <v>1</v>
      </c>
      <c r="F118" s="282">
        <v>25</v>
      </c>
      <c r="G118" s="282">
        <f t="shared" si="7"/>
        <v>34</v>
      </c>
      <c r="H118" s="282">
        <f t="shared" si="8"/>
        <v>4430.3636363636397</v>
      </c>
      <c r="I118" s="282">
        <f t="shared" si="9"/>
        <v>9229.9242424242493</v>
      </c>
      <c r="J118" s="282">
        <f t="shared" si="11"/>
        <v>110759.090909091</v>
      </c>
      <c r="K118" s="282"/>
      <c r="L118" s="240">
        <f t="shared" si="12"/>
        <v>5000</v>
      </c>
      <c r="M118" s="282"/>
      <c r="N118" s="240">
        <f t="shared" si="10"/>
        <v>18000</v>
      </c>
    </row>
    <row r="119" spans="1:14" ht="11.25" customHeight="1" x14ac:dyDescent="0.2">
      <c r="B119" s="281"/>
      <c r="C119" s="282">
        <v>1</v>
      </c>
      <c r="D119" s="283"/>
      <c r="E119" s="282">
        <v>2</v>
      </c>
      <c r="F119" s="282">
        <v>39.4</v>
      </c>
      <c r="G119" s="282">
        <f t="shared" si="7"/>
        <v>40</v>
      </c>
      <c r="H119" s="282">
        <f t="shared" si="8"/>
        <v>3783.1333640978351</v>
      </c>
      <c r="I119" s="282">
        <f t="shared" si="9"/>
        <v>12421.287878787893</v>
      </c>
      <c r="J119" s="282">
        <f t="shared" si="11"/>
        <v>149055.4545454547</v>
      </c>
      <c r="K119" s="282"/>
      <c r="L119" s="240">
        <f t="shared" si="12"/>
        <v>7880</v>
      </c>
      <c r="M119" s="282"/>
      <c r="N119" s="240">
        <f t="shared" si="10"/>
        <v>18000</v>
      </c>
    </row>
    <row r="120" spans="1:14" ht="11.25" customHeight="1" x14ac:dyDescent="0.2">
      <c r="B120" s="281"/>
      <c r="C120" s="282">
        <v>1</v>
      </c>
      <c r="D120" s="283"/>
      <c r="E120" s="282">
        <v>3</v>
      </c>
      <c r="F120" s="282">
        <v>63.9</v>
      </c>
      <c r="G120" s="282">
        <f t="shared" si="7"/>
        <v>44</v>
      </c>
      <c r="H120" s="282">
        <f t="shared" si="8"/>
        <v>3169.91748470622</v>
      </c>
      <c r="I120" s="282">
        <f t="shared" si="9"/>
        <v>16879.810606060619</v>
      </c>
      <c r="J120" s="282">
        <f t="shared" si="11"/>
        <v>202557.72727272741</v>
      </c>
      <c r="K120" s="282"/>
      <c r="L120" s="240">
        <f t="shared" si="12"/>
        <v>12780</v>
      </c>
      <c r="M120" s="282"/>
      <c r="N120" s="240">
        <f t="shared" si="10"/>
        <v>18000</v>
      </c>
    </row>
    <row r="121" spans="1:14" ht="11.25" customHeight="1" x14ac:dyDescent="0.2">
      <c r="B121" s="281"/>
      <c r="C121" s="282">
        <v>1</v>
      </c>
      <c r="D121" s="283"/>
      <c r="E121" s="282">
        <v>2</v>
      </c>
      <c r="F121" s="282">
        <v>32.9</v>
      </c>
      <c r="G121" s="282">
        <f t="shared" si="7"/>
        <v>40</v>
      </c>
      <c r="H121" s="282">
        <f t="shared" si="8"/>
        <v>4159.6711798839506</v>
      </c>
      <c r="I121" s="282">
        <f t="shared" si="9"/>
        <v>11404.431818181831</v>
      </c>
      <c r="J121" s="282">
        <f t="shared" si="11"/>
        <v>136853.18181818197</v>
      </c>
      <c r="K121" s="282"/>
      <c r="L121" s="240">
        <f t="shared" si="12"/>
        <v>6580</v>
      </c>
      <c r="M121" s="282"/>
      <c r="N121" s="240">
        <f t="shared" si="10"/>
        <v>18000</v>
      </c>
    </row>
    <row r="122" spans="1:14" ht="11.25" customHeight="1" x14ac:dyDescent="0.2">
      <c r="B122" s="281"/>
      <c r="C122" s="282">
        <v>1</v>
      </c>
      <c r="D122" s="283"/>
      <c r="E122" s="282">
        <v>2</v>
      </c>
      <c r="F122" s="282">
        <v>44.3</v>
      </c>
      <c r="G122" s="282">
        <f t="shared" si="7"/>
        <v>40</v>
      </c>
      <c r="H122" s="282">
        <f t="shared" si="8"/>
        <v>3572.3271085573606</v>
      </c>
      <c r="I122" s="282">
        <f t="shared" si="9"/>
        <v>13187.840909090921</v>
      </c>
      <c r="J122" s="282">
        <f t="shared" si="11"/>
        <v>158254.09090909106</v>
      </c>
      <c r="K122" s="282"/>
      <c r="L122" s="240">
        <f t="shared" si="12"/>
        <v>8860</v>
      </c>
      <c r="M122" s="282"/>
      <c r="N122" s="240">
        <f t="shared" si="10"/>
        <v>18000</v>
      </c>
    </row>
    <row r="123" spans="1:14" ht="11.25" customHeight="1" x14ac:dyDescent="0.2">
      <c r="B123" s="281"/>
      <c r="C123" s="282">
        <v>1</v>
      </c>
      <c r="D123" s="283"/>
      <c r="E123" s="282">
        <v>3</v>
      </c>
      <c r="F123" s="282">
        <v>66.900000000000006</v>
      </c>
      <c r="G123" s="282">
        <f t="shared" si="7"/>
        <v>44</v>
      </c>
      <c r="H123" s="282">
        <f t="shared" si="8"/>
        <v>3111.9513520858836</v>
      </c>
      <c r="I123" s="282">
        <f t="shared" si="9"/>
        <v>17349.128787878803</v>
      </c>
      <c r="J123" s="282">
        <f t="shared" si="11"/>
        <v>208189.54545454565</v>
      </c>
      <c r="K123" s="282"/>
      <c r="L123" s="240">
        <f t="shared" si="12"/>
        <v>13380.000000000002</v>
      </c>
      <c r="M123" s="282"/>
      <c r="N123" s="240">
        <f t="shared" si="10"/>
        <v>18000</v>
      </c>
    </row>
    <row r="124" spans="1:14" ht="11.25" customHeight="1" x14ac:dyDescent="0.2">
      <c r="B124" s="281"/>
      <c r="C124" s="282">
        <v>1</v>
      </c>
      <c r="D124" s="283"/>
      <c r="E124" s="282">
        <v>2</v>
      </c>
      <c r="F124" s="282">
        <v>32.9</v>
      </c>
      <c r="G124" s="282">
        <f t="shared" si="7"/>
        <v>40</v>
      </c>
      <c r="H124" s="282">
        <f t="shared" si="8"/>
        <v>4159.6711798839506</v>
      </c>
      <c r="I124" s="282">
        <f t="shared" si="9"/>
        <v>11404.431818181831</v>
      </c>
      <c r="J124" s="282">
        <f t="shared" si="11"/>
        <v>136853.18181818197</v>
      </c>
      <c r="K124" s="282"/>
      <c r="L124" s="240">
        <f t="shared" si="12"/>
        <v>6580</v>
      </c>
      <c r="M124" s="282"/>
      <c r="N124" s="240">
        <f t="shared" si="10"/>
        <v>18000</v>
      </c>
    </row>
    <row r="125" spans="1:14" ht="11.25" customHeight="1" x14ac:dyDescent="0.2">
      <c r="B125" s="281"/>
      <c r="C125" s="282">
        <v>1</v>
      </c>
      <c r="D125" s="283"/>
      <c r="E125" s="282">
        <v>2</v>
      </c>
      <c r="F125" s="282">
        <v>44.3</v>
      </c>
      <c r="G125" s="282">
        <f t="shared" si="7"/>
        <v>40</v>
      </c>
      <c r="H125" s="282">
        <f t="shared" si="8"/>
        <v>3572.3271085573606</v>
      </c>
      <c r="I125" s="282">
        <f t="shared" si="9"/>
        <v>13187.840909090921</v>
      </c>
      <c r="J125" s="282">
        <f t="shared" si="11"/>
        <v>158254.09090909106</v>
      </c>
      <c r="K125" s="282"/>
      <c r="L125" s="240">
        <f t="shared" si="12"/>
        <v>8860</v>
      </c>
      <c r="M125" s="282"/>
      <c r="N125" s="240">
        <f t="shared" ref="N125:N161" si="13">$H$6*12</f>
        <v>18000</v>
      </c>
    </row>
    <row r="126" spans="1:14" ht="11.25" customHeight="1" x14ac:dyDescent="0.2">
      <c r="B126" s="281"/>
      <c r="C126" s="282">
        <v>1</v>
      </c>
      <c r="D126" s="283"/>
      <c r="E126" s="282">
        <v>3</v>
      </c>
      <c r="F126" s="282">
        <v>66.900000000000006</v>
      </c>
      <c r="G126" s="282">
        <f t="shared" si="7"/>
        <v>44</v>
      </c>
      <c r="H126" s="282">
        <f t="shared" si="8"/>
        <v>3111.9513520858836</v>
      </c>
      <c r="I126" s="282">
        <f t="shared" si="9"/>
        <v>17349.128787878803</v>
      </c>
      <c r="J126" s="282">
        <f t="shared" si="11"/>
        <v>208189.54545454565</v>
      </c>
      <c r="K126" s="282"/>
      <c r="L126" s="240">
        <f t="shared" si="12"/>
        <v>13380.000000000002</v>
      </c>
      <c r="M126" s="282"/>
      <c r="N126" s="240">
        <f t="shared" si="13"/>
        <v>18000</v>
      </c>
    </row>
    <row r="127" spans="1:14" ht="11.25" customHeight="1" x14ac:dyDescent="0.2">
      <c r="B127" s="281"/>
      <c r="C127" s="282">
        <v>1</v>
      </c>
      <c r="D127" s="283"/>
      <c r="E127" s="282">
        <v>2</v>
      </c>
      <c r="F127" s="282">
        <v>32.9</v>
      </c>
      <c r="G127" s="282">
        <f t="shared" si="7"/>
        <v>40</v>
      </c>
      <c r="H127" s="282">
        <f t="shared" si="8"/>
        <v>4159.6711798839506</v>
      </c>
      <c r="I127" s="282">
        <f t="shared" si="9"/>
        <v>11404.431818181831</v>
      </c>
      <c r="J127" s="282">
        <f t="shared" si="11"/>
        <v>136853.18181818197</v>
      </c>
      <c r="K127" s="282"/>
      <c r="L127" s="240">
        <f t="shared" si="12"/>
        <v>6580</v>
      </c>
      <c r="M127" s="282"/>
      <c r="N127" s="240">
        <f t="shared" si="13"/>
        <v>18000</v>
      </c>
    </row>
    <row r="128" spans="1:14" ht="11.25" customHeight="1" x14ac:dyDescent="0.2">
      <c r="B128" s="281"/>
      <c r="C128" s="282">
        <v>1</v>
      </c>
      <c r="D128" s="283"/>
      <c r="E128" s="282">
        <v>2</v>
      </c>
      <c r="F128" s="282">
        <v>44.3</v>
      </c>
      <c r="G128" s="282">
        <f t="shared" si="7"/>
        <v>40</v>
      </c>
      <c r="H128" s="282">
        <f t="shared" si="8"/>
        <v>3572.3271085573606</v>
      </c>
      <c r="I128" s="282">
        <f t="shared" si="9"/>
        <v>13187.840909090921</v>
      </c>
      <c r="J128" s="282">
        <f t="shared" si="11"/>
        <v>158254.09090909106</v>
      </c>
      <c r="K128" s="282"/>
      <c r="L128" s="240">
        <f t="shared" si="12"/>
        <v>8860</v>
      </c>
      <c r="M128" s="282"/>
      <c r="N128" s="240">
        <f t="shared" si="13"/>
        <v>18000</v>
      </c>
    </row>
    <row r="129" spans="2:14" ht="11.25" customHeight="1" x14ac:dyDescent="0.2">
      <c r="B129" s="281"/>
      <c r="C129" s="282">
        <v>1</v>
      </c>
      <c r="D129" s="283"/>
      <c r="E129" s="282">
        <v>3</v>
      </c>
      <c r="F129" s="282">
        <v>66.900000000000006</v>
      </c>
      <c r="G129" s="282">
        <f t="shared" si="7"/>
        <v>44</v>
      </c>
      <c r="H129" s="282">
        <f t="shared" si="8"/>
        <v>3111.9513520858836</v>
      </c>
      <c r="I129" s="282">
        <f t="shared" si="9"/>
        <v>17349.128787878803</v>
      </c>
      <c r="J129" s="282">
        <f t="shared" si="11"/>
        <v>208189.54545454565</v>
      </c>
      <c r="K129" s="282"/>
      <c r="L129" s="240">
        <f t="shared" si="12"/>
        <v>13380.000000000002</v>
      </c>
      <c r="M129" s="282"/>
      <c r="N129" s="240">
        <f t="shared" si="13"/>
        <v>18000</v>
      </c>
    </row>
    <row r="130" spans="2:14" ht="11.25" customHeight="1" x14ac:dyDescent="0.2">
      <c r="B130" s="281"/>
      <c r="C130" s="282">
        <v>1</v>
      </c>
      <c r="D130" s="283"/>
      <c r="E130" s="282">
        <v>2</v>
      </c>
      <c r="F130" s="282">
        <v>32.9</v>
      </c>
      <c r="G130" s="282">
        <f t="shared" si="7"/>
        <v>40</v>
      </c>
      <c r="H130" s="282">
        <f t="shared" si="8"/>
        <v>4159.6711798839506</v>
      </c>
      <c r="I130" s="282">
        <f t="shared" si="9"/>
        <v>11404.431818181831</v>
      </c>
      <c r="J130" s="282">
        <f t="shared" si="11"/>
        <v>136853.18181818197</v>
      </c>
      <c r="K130" s="282"/>
      <c r="L130" s="240">
        <f t="shared" si="12"/>
        <v>6580</v>
      </c>
      <c r="M130" s="282"/>
      <c r="N130" s="240">
        <f t="shared" si="13"/>
        <v>18000</v>
      </c>
    </row>
    <row r="131" spans="2:14" x14ac:dyDescent="0.2">
      <c r="B131" s="281"/>
      <c r="C131" s="282">
        <v>1</v>
      </c>
      <c r="D131" s="283"/>
      <c r="E131" s="282">
        <v>2</v>
      </c>
      <c r="F131" s="282">
        <v>44.3</v>
      </c>
      <c r="G131" s="282">
        <f t="shared" si="7"/>
        <v>40</v>
      </c>
      <c r="H131" s="282">
        <f t="shared" si="8"/>
        <v>3572.3271085573606</v>
      </c>
      <c r="I131" s="282">
        <f t="shared" si="9"/>
        <v>13187.840909090921</v>
      </c>
      <c r="J131" s="282">
        <f t="shared" si="11"/>
        <v>158254.09090909106</v>
      </c>
      <c r="K131" s="282"/>
      <c r="L131" s="240">
        <f t="shared" si="12"/>
        <v>8860</v>
      </c>
      <c r="M131" s="282"/>
      <c r="N131" s="240">
        <f t="shared" si="13"/>
        <v>18000</v>
      </c>
    </row>
    <row r="132" spans="2:14" x14ac:dyDescent="0.2">
      <c r="B132" s="281"/>
      <c r="C132" s="282">
        <v>1</v>
      </c>
      <c r="D132" s="283"/>
      <c r="E132" s="282">
        <v>3</v>
      </c>
      <c r="F132" s="282">
        <v>66.900000000000006</v>
      </c>
      <c r="G132" s="282">
        <f t="shared" si="7"/>
        <v>44</v>
      </c>
      <c r="H132" s="282">
        <f t="shared" si="8"/>
        <v>3111.9513520858836</v>
      </c>
      <c r="I132" s="282">
        <f t="shared" si="9"/>
        <v>17349.128787878803</v>
      </c>
      <c r="J132" s="282">
        <f t="shared" si="11"/>
        <v>208189.54545454565</v>
      </c>
      <c r="K132" s="282"/>
      <c r="L132" s="240">
        <f t="shared" si="12"/>
        <v>13380.000000000002</v>
      </c>
      <c r="M132" s="282"/>
      <c r="N132" s="240">
        <f t="shared" si="13"/>
        <v>18000</v>
      </c>
    </row>
    <row r="133" spans="2:14" x14ac:dyDescent="0.2">
      <c r="B133" s="281"/>
      <c r="C133" s="282">
        <v>1</v>
      </c>
      <c r="D133" s="283"/>
      <c r="E133" s="282">
        <v>2</v>
      </c>
      <c r="F133" s="282">
        <v>32.9</v>
      </c>
      <c r="G133" s="282">
        <f t="shared" si="7"/>
        <v>40</v>
      </c>
      <c r="H133" s="282">
        <f t="shared" si="8"/>
        <v>4159.6711798839506</v>
      </c>
      <c r="I133" s="282">
        <f t="shared" si="9"/>
        <v>11404.431818181831</v>
      </c>
      <c r="J133" s="282">
        <f t="shared" si="11"/>
        <v>136853.18181818197</v>
      </c>
      <c r="K133" s="282"/>
      <c r="L133" s="240">
        <f t="shared" si="12"/>
        <v>6580</v>
      </c>
      <c r="M133" s="282"/>
      <c r="N133" s="240">
        <f t="shared" si="13"/>
        <v>18000</v>
      </c>
    </row>
    <row r="134" spans="2:14" x14ac:dyDescent="0.2">
      <c r="B134" s="281"/>
      <c r="C134" s="282">
        <v>1</v>
      </c>
      <c r="D134" s="283"/>
      <c r="E134" s="282">
        <v>2</v>
      </c>
      <c r="F134" s="282">
        <v>44.3</v>
      </c>
      <c r="G134" s="282">
        <f t="shared" si="7"/>
        <v>40</v>
      </c>
      <c r="H134" s="282">
        <f t="shared" si="8"/>
        <v>3572.3271085573606</v>
      </c>
      <c r="I134" s="282">
        <f t="shared" si="9"/>
        <v>13187.840909090921</v>
      </c>
      <c r="J134" s="282">
        <f t="shared" si="11"/>
        <v>158254.09090909106</v>
      </c>
      <c r="K134" s="282"/>
      <c r="L134" s="240">
        <f t="shared" si="12"/>
        <v>8860</v>
      </c>
      <c r="M134" s="282"/>
      <c r="N134" s="240">
        <f t="shared" si="13"/>
        <v>18000</v>
      </c>
    </row>
    <row r="135" spans="2:14" x14ac:dyDescent="0.2">
      <c r="B135" s="281"/>
      <c r="C135" s="282">
        <v>1</v>
      </c>
      <c r="D135" s="283"/>
      <c r="E135" s="282">
        <v>3</v>
      </c>
      <c r="F135" s="282">
        <v>66.900000000000006</v>
      </c>
      <c r="G135" s="282">
        <f t="shared" si="7"/>
        <v>44</v>
      </c>
      <c r="H135" s="282">
        <f t="shared" si="8"/>
        <v>3111.9513520858836</v>
      </c>
      <c r="I135" s="282">
        <f t="shared" si="9"/>
        <v>17349.128787878803</v>
      </c>
      <c r="J135" s="282">
        <f t="shared" si="11"/>
        <v>208189.54545454565</v>
      </c>
      <c r="K135" s="282"/>
      <c r="L135" s="240">
        <f t="shared" si="12"/>
        <v>13380.000000000002</v>
      </c>
      <c r="M135" s="282"/>
      <c r="N135" s="240">
        <f t="shared" si="13"/>
        <v>18000</v>
      </c>
    </row>
    <row r="136" spans="2:14" x14ac:dyDescent="0.2">
      <c r="B136" s="281"/>
      <c r="C136" s="282">
        <v>1</v>
      </c>
      <c r="D136" s="283"/>
      <c r="E136" s="282">
        <v>2</v>
      </c>
      <c r="F136" s="282">
        <v>32.9</v>
      </c>
      <c r="G136" s="282">
        <f t="shared" si="7"/>
        <v>40</v>
      </c>
      <c r="H136" s="282">
        <f t="shared" si="8"/>
        <v>4159.6711798839506</v>
      </c>
      <c r="I136" s="282">
        <f t="shared" si="9"/>
        <v>11404.431818181831</v>
      </c>
      <c r="J136" s="282">
        <f t="shared" si="11"/>
        <v>136853.18181818197</v>
      </c>
      <c r="K136" s="282"/>
      <c r="L136" s="240">
        <f t="shared" si="12"/>
        <v>6580</v>
      </c>
      <c r="M136" s="282"/>
      <c r="N136" s="240">
        <f t="shared" si="13"/>
        <v>18000</v>
      </c>
    </row>
    <row r="137" spans="2:14" x14ac:dyDescent="0.2">
      <c r="B137" s="281"/>
      <c r="C137" s="282">
        <v>1</v>
      </c>
      <c r="D137" s="283"/>
      <c r="E137" s="282">
        <v>2</v>
      </c>
      <c r="F137" s="282">
        <v>44.3</v>
      </c>
      <c r="G137" s="282">
        <f t="shared" si="7"/>
        <v>40</v>
      </c>
      <c r="H137" s="282">
        <f t="shared" si="8"/>
        <v>3572.3271085573606</v>
      </c>
      <c r="I137" s="282">
        <f t="shared" si="9"/>
        <v>13187.840909090921</v>
      </c>
      <c r="J137" s="282">
        <f t="shared" si="11"/>
        <v>158254.09090909106</v>
      </c>
      <c r="K137" s="282"/>
      <c r="L137" s="240">
        <f t="shared" si="12"/>
        <v>8860</v>
      </c>
      <c r="M137" s="282"/>
      <c r="N137" s="240">
        <f t="shared" si="13"/>
        <v>18000</v>
      </c>
    </row>
    <row r="138" spans="2:14" x14ac:dyDescent="0.2">
      <c r="B138" s="281"/>
      <c r="C138" s="282">
        <v>1</v>
      </c>
      <c r="D138" s="283"/>
      <c r="E138" s="282">
        <v>3</v>
      </c>
      <c r="F138" s="282">
        <v>66.900000000000006</v>
      </c>
      <c r="G138" s="282">
        <f t="shared" si="7"/>
        <v>44</v>
      </c>
      <c r="H138" s="282">
        <f t="shared" si="8"/>
        <v>3111.9513520858836</v>
      </c>
      <c r="I138" s="282">
        <f t="shared" si="9"/>
        <v>17349.128787878803</v>
      </c>
      <c r="J138" s="282">
        <f t="shared" si="11"/>
        <v>208189.54545454565</v>
      </c>
      <c r="K138" s="282"/>
      <c r="L138" s="240">
        <f t="shared" si="12"/>
        <v>13380.000000000002</v>
      </c>
      <c r="M138" s="282"/>
      <c r="N138" s="240">
        <f t="shared" si="13"/>
        <v>18000</v>
      </c>
    </row>
    <row r="139" spans="2:14" x14ac:dyDescent="0.2">
      <c r="B139" s="281"/>
      <c r="C139" s="282">
        <v>1</v>
      </c>
      <c r="D139" s="283"/>
      <c r="E139" s="282">
        <v>2</v>
      </c>
      <c r="F139" s="282">
        <v>32.9</v>
      </c>
      <c r="G139" s="282">
        <f t="shared" si="7"/>
        <v>40</v>
      </c>
      <c r="H139" s="282">
        <f t="shared" si="8"/>
        <v>4159.6711798839506</v>
      </c>
      <c r="I139" s="282">
        <f t="shared" si="9"/>
        <v>11404.431818181831</v>
      </c>
      <c r="J139" s="282">
        <f t="shared" si="11"/>
        <v>136853.18181818197</v>
      </c>
      <c r="K139" s="282"/>
      <c r="L139" s="240">
        <f t="shared" si="12"/>
        <v>6580</v>
      </c>
      <c r="M139" s="282"/>
      <c r="N139" s="240">
        <f t="shared" si="13"/>
        <v>18000</v>
      </c>
    </row>
    <row r="140" spans="2:14" x14ac:dyDescent="0.2">
      <c r="B140" s="281"/>
      <c r="C140" s="282">
        <v>1</v>
      </c>
      <c r="D140" s="283"/>
      <c r="E140" s="282">
        <v>2</v>
      </c>
      <c r="F140" s="282">
        <v>44.3</v>
      </c>
      <c r="G140" s="282">
        <f t="shared" si="7"/>
        <v>40</v>
      </c>
      <c r="H140" s="282">
        <f t="shared" si="8"/>
        <v>3572.3271085573606</v>
      </c>
      <c r="I140" s="282">
        <f t="shared" si="9"/>
        <v>13187.840909090921</v>
      </c>
      <c r="J140" s="282">
        <f t="shared" si="11"/>
        <v>158254.09090909106</v>
      </c>
      <c r="K140" s="282"/>
      <c r="L140" s="240">
        <f t="shared" si="12"/>
        <v>8860</v>
      </c>
      <c r="M140" s="282"/>
      <c r="N140" s="240">
        <f t="shared" si="13"/>
        <v>18000</v>
      </c>
    </row>
    <row r="141" spans="2:14" x14ac:dyDescent="0.2">
      <c r="B141" s="281"/>
      <c r="C141" s="282">
        <v>1</v>
      </c>
      <c r="D141" s="283"/>
      <c r="E141" s="282">
        <v>3</v>
      </c>
      <c r="F141" s="282">
        <v>66.099999999999994</v>
      </c>
      <c r="G141" s="282">
        <f t="shared" si="7"/>
        <v>44</v>
      </c>
      <c r="H141" s="282">
        <f t="shared" si="8"/>
        <v>3126.8945124467091</v>
      </c>
      <c r="I141" s="282">
        <f t="shared" si="9"/>
        <v>17223.977272727287</v>
      </c>
      <c r="J141" s="282">
        <f t="shared" si="11"/>
        <v>206687.72727272744</v>
      </c>
      <c r="K141" s="282"/>
      <c r="L141" s="240">
        <f t="shared" si="12"/>
        <v>13219.999999999998</v>
      </c>
      <c r="M141" s="282"/>
      <c r="N141" s="240">
        <f t="shared" si="13"/>
        <v>18000</v>
      </c>
    </row>
    <row r="142" spans="2:14" x14ac:dyDescent="0.2">
      <c r="B142" s="281"/>
      <c r="C142" s="282">
        <v>1</v>
      </c>
      <c r="D142" s="283"/>
      <c r="E142" s="282">
        <v>1</v>
      </c>
      <c r="F142" s="282">
        <v>25</v>
      </c>
      <c r="G142" s="282">
        <f t="shared" si="7"/>
        <v>34</v>
      </c>
      <c r="H142" s="282">
        <f t="shared" si="8"/>
        <v>4430.3636363636397</v>
      </c>
      <c r="I142" s="282">
        <f t="shared" si="9"/>
        <v>9229.9242424242493</v>
      </c>
      <c r="J142" s="282">
        <f t="shared" si="11"/>
        <v>110759.090909091</v>
      </c>
      <c r="K142" s="282"/>
      <c r="L142" s="240">
        <f t="shared" si="12"/>
        <v>5000</v>
      </c>
      <c r="M142" s="282"/>
      <c r="N142" s="240">
        <f t="shared" si="13"/>
        <v>18000</v>
      </c>
    </row>
    <row r="143" spans="2:14" x14ac:dyDescent="0.2">
      <c r="B143" s="281"/>
      <c r="C143" s="282">
        <v>1</v>
      </c>
      <c r="D143" s="283"/>
      <c r="E143" s="282">
        <v>2</v>
      </c>
      <c r="F143" s="282">
        <v>34.1</v>
      </c>
      <c r="G143" s="282">
        <f t="shared" si="7"/>
        <v>40</v>
      </c>
      <c r="H143" s="282">
        <f t="shared" si="8"/>
        <v>4079.3521727539355</v>
      </c>
      <c r="I143" s="282">
        <f t="shared" si="9"/>
        <v>11592.159090909101</v>
      </c>
      <c r="J143" s="282">
        <f t="shared" si="11"/>
        <v>139105.9090909092</v>
      </c>
      <c r="K143" s="282"/>
      <c r="L143" s="240">
        <f t="shared" si="12"/>
        <v>6820</v>
      </c>
      <c r="M143" s="282"/>
      <c r="N143" s="240">
        <f t="shared" si="13"/>
        <v>18000</v>
      </c>
    </row>
    <row r="144" spans="2:14" x14ac:dyDescent="0.2">
      <c r="B144" s="281"/>
      <c r="C144" s="282">
        <v>1</v>
      </c>
      <c r="D144" s="283"/>
      <c r="E144" s="282">
        <v>3</v>
      </c>
      <c r="F144" s="282">
        <v>63.9</v>
      </c>
      <c r="G144" s="282">
        <f t="shared" si="7"/>
        <v>44</v>
      </c>
      <c r="H144" s="282">
        <f t="shared" si="8"/>
        <v>3169.91748470622</v>
      </c>
      <c r="I144" s="282">
        <f t="shared" si="9"/>
        <v>16879.810606060619</v>
      </c>
      <c r="J144" s="282">
        <f t="shared" si="11"/>
        <v>202557.72727272741</v>
      </c>
      <c r="K144" s="282"/>
      <c r="L144" s="240">
        <f t="shared" si="12"/>
        <v>12780</v>
      </c>
      <c r="M144" s="282"/>
      <c r="N144" s="240">
        <f t="shared" si="13"/>
        <v>18000</v>
      </c>
    </row>
    <row r="145" spans="2:14" x14ac:dyDescent="0.2">
      <c r="B145" s="281"/>
      <c r="C145" s="282">
        <v>1</v>
      </c>
      <c r="D145" s="283"/>
      <c r="E145" s="282">
        <v>2</v>
      </c>
      <c r="F145" s="282">
        <v>32.9</v>
      </c>
      <c r="G145" s="282">
        <f t="shared" si="7"/>
        <v>40</v>
      </c>
      <c r="H145" s="282">
        <f t="shared" si="8"/>
        <v>4159.6711798839506</v>
      </c>
      <c r="I145" s="282">
        <f t="shared" si="9"/>
        <v>11404.431818181831</v>
      </c>
      <c r="J145" s="282">
        <f t="shared" si="11"/>
        <v>136853.18181818197</v>
      </c>
      <c r="K145" s="282"/>
      <c r="L145" s="240">
        <f t="shared" si="12"/>
        <v>6580</v>
      </c>
      <c r="M145" s="282"/>
      <c r="N145" s="240">
        <f t="shared" si="13"/>
        <v>18000</v>
      </c>
    </row>
    <row r="146" spans="2:14" x14ac:dyDescent="0.2">
      <c r="B146" s="281"/>
      <c r="C146" s="282">
        <v>1</v>
      </c>
      <c r="D146" s="283"/>
      <c r="E146" s="282">
        <v>2</v>
      </c>
      <c r="F146" s="282">
        <v>44.3</v>
      </c>
      <c r="G146" s="282">
        <f t="shared" si="7"/>
        <v>40</v>
      </c>
      <c r="H146" s="282">
        <f t="shared" si="8"/>
        <v>3572.3271085573606</v>
      </c>
      <c r="I146" s="282">
        <f t="shared" si="9"/>
        <v>13187.840909090921</v>
      </c>
      <c r="J146" s="282">
        <f t="shared" si="11"/>
        <v>158254.09090909106</v>
      </c>
      <c r="K146" s="282"/>
      <c r="L146" s="240">
        <f t="shared" si="12"/>
        <v>8860</v>
      </c>
      <c r="M146" s="282"/>
      <c r="N146" s="240">
        <f t="shared" si="13"/>
        <v>18000</v>
      </c>
    </row>
    <row r="147" spans="2:14" x14ac:dyDescent="0.2">
      <c r="B147" s="281"/>
      <c r="C147" s="282">
        <v>1</v>
      </c>
      <c r="D147" s="283"/>
      <c r="E147" s="282">
        <v>3</v>
      </c>
      <c r="F147" s="282">
        <v>66.900000000000006</v>
      </c>
      <c r="G147" s="282">
        <f t="shared" si="7"/>
        <v>44</v>
      </c>
      <c r="H147" s="282">
        <f t="shared" si="8"/>
        <v>3111.9513520858836</v>
      </c>
      <c r="I147" s="282">
        <f t="shared" si="9"/>
        <v>17349.128787878803</v>
      </c>
      <c r="J147" s="282">
        <f t="shared" si="11"/>
        <v>208189.54545454565</v>
      </c>
      <c r="K147" s="282"/>
      <c r="L147" s="240">
        <f t="shared" si="12"/>
        <v>13380.000000000002</v>
      </c>
      <c r="M147" s="282"/>
      <c r="N147" s="240">
        <f t="shared" si="13"/>
        <v>18000</v>
      </c>
    </row>
    <row r="148" spans="2:14" x14ac:dyDescent="0.2">
      <c r="B148" s="281"/>
      <c r="C148" s="282">
        <v>1</v>
      </c>
      <c r="D148" s="283"/>
      <c r="E148" s="282">
        <v>2</v>
      </c>
      <c r="F148" s="282">
        <v>32.9</v>
      </c>
      <c r="G148" s="282">
        <f t="shared" si="7"/>
        <v>40</v>
      </c>
      <c r="H148" s="282">
        <f t="shared" si="8"/>
        <v>4159.6711798839506</v>
      </c>
      <c r="I148" s="282">
        <f t="shared" si="9"/>
        <v>11404.431818181831</v>
      </c>
      <c r="J148" s="282">
        <f t="shared" si="11"/>
        <v>136853.18181818197</v>
      </c>
      <c r="K148" s="282"/>
      <c r="L148" s="240">
        <f t="shared" si="12"/>
        <v>6580</v>
      </c>
      <c r="M148" s="282"/>
      <c r="N148" s="240">
        <f t="shared" si="13"/>
        <v>18000</v>
      </c>
    </row>
    <row r="149" spans="2:14" x14ac:dyDescent="0.2">
      <c r="B149" s="281"/>
      <c r="C149" s="282">
        <v>1</v>
      </c>
      <c r="D149" s="283"/>
      <c r="E149" s="282">
        <v>2</v>
      </c>
      <c r="F149" s="282">
        <v>44.3</v>
      </c>
      <c r="G149" s="282">
        <f t="shared" si="7"/>
        <v>40</v>
      </c>
      <c r="H149" s="282">
        <f t="shared" si="8"/>
        <v>3572.3271085573606</v>
      </c>
      <c r="I149" s="282">
        <f t="shared" si="9"/>
        <v>13187.840909090921</v>
      </c>
      <c r="J149" s="282">
        <f t="shared" si="11"/>
        <v>158254.09090909106</v>
      </c>
      <c r="K149" s="282"/>
      <c r="L149" s="240">
        <f t="shared" si="12"/>
        <v>8860</v>
      </c>
      <c r="M149" s="282"/>
      <c r="N149" s="240">
        <f t="shared" si="13"/>
        <v>18000</v>
      </c>
    </row>
    <row r="150" spans="2:14" x14ac:dyDescent="0.2">
      <c r="B150" s="281"/>
      <c r="C150" s="282">
        <v>1</v>
      </c>
      <c r="D150" s="283"/>
      <c r="E150" s="282">
        <v>3</v>
      </c>
      <c r="F150" s="282">
        <v>66.900000000000006</v>
      </c>
      <c r="G150" s="282">
        <f t="shared" si="7"/>
        <v>44</v>
      </c>
      <c r="H150" s="282">
        <f t="shared" si="8"/>
        <v>3111.9513520858836</v>
      </c>
      <c r="I150" s="282">
        <f t="shared" si="9"/>
        <v>17349.128787878803</v>
      </c>
      <c r="J150" s="282">
        <f t="shared" si="11"/>
        <v>208189.54545454565</v>
      </c>
      <c r="K150" s="282"/>
      <c r="L150" s="240">
        <f t="shared" si="12"/>
        <v>13380.000000000002</v>
      </c>
      <c r="M150" s="282"/>
      <c r="N150" s="240">
        <f t="shared" si="13"/>
        <v>18000</v>
      </c>
    </row>
    <row r="151" spans="2:14" x14ac:dyDescent="0.2">
      <c r="B151" s="281"/>
      <c r="C151" s="282">
        <v>1</v>
      </c>
      <c r="D151" s="283"/>
      <c r="E151" s="282">
        <v>2</v>
      </c>
      <c r="F151" s="282">
        <v>32.9</v>
      </c>
      <c r="G151" s="282">
        <f t="shared" si="7"/>
        <v>40</v>
      </c>
      <c r="H151" s="282">
        <f t="shared" si="8"/>
        <v>4159.6711798839506</v>
      </c>
      <c r="I151" s="282">
        <f t="shared" si="9"/>
        <v>11404.431818181831</v>
      </c>
      <c r="J151" s="282">
        <f t="shared" si="11"/>
        <v>136853.18181818197</v>
      </c>
      <c r="K151" s="282"/>
      <c r="L151" s="240">
        <f t="shared" si="12"/>
        <v>6580</v>
      </c>
      <c r="M151" s="282"/>
      <c r="N151" s="240">
        <f t="shared" si="13"/>
        <v>18000</v>
      </c>
    </row>
    <row r="152" spans="2:14" x14ac:dyDescent="0.2">
      <c r="B152" s="281"/>
      <c r="C152" s="282">
        <v>1</v>
      </c>
      <c r="D152" s="283"/>
      <c r="E152" s="282">
        <v>2</v>
      </c>
      <c r="F152" s="282">
        <v>44.3</v>
      </c>
      <c r="G152" s="282">
        <f t="shared" si="7"/>
        <v>40</v>
      </c>
      <c r="H152" s="282">
        <f t="shared" si="8"/>
        <v>3572.3271085573606</v>
      </c>
      <c r="I152" s="282">
        <f t="shared" si="9"/>
        <v>13187.840909090921</v>
      </c>
      <c r="J152" s="282">
        <f t="shared" si="11"/>
        <v>158254.09090909106</v>
      </c>
      <c r="K152" s="282"/>
      <c r="L152" s="240">
        <f t="shared" si="12"/>
        <v>8860</v>
      </c>
      <c r="M152" s="282"/>
      <c r="N152" s="240">
        <f t="shared" si="13"/>
        <v>18000</v>
      </c>
    </row>
    <row r="153" spans="2:14" x14ac:dyDescent="0.2">
      <c r="B153" s="281"/>
      <c r="C153" s="282">
        <v>1</v>
      </c>
      <c r="D153" s="283"/>
      <c r="E153" s="282">
        <v>3</v>
      </c>
      <c r="F153" s="282">
        <v>66.900000000000006</v>
      </c>
      <c r="G153" s="282">
        <f t="shared" si="7"/>
        <v>44</v>
      </c>
      <c r="H153" s="282">
        <f t="shared" si="8"/>
        <v>3111.9513520858836</v>
      </c>
      <c r="I153" s="282">
        <f t="shared" si="9"/>
        <v>17349.128787878803</v>
      </c>
      <c r="J153" s="282">
        <f t="shared" si="11"/>
        <v>208189.54545454565</v>
      </c>
      <c r="K153" s="282"/>
      <c r="L153" s="240">
        <f t="shared" si="12"/>
        <v>13380.000000000002</v>
      </c>
      <c r="M153" s="282"/>
      <c r="N153" s="240">
        <f t="shared" si="13"/>
        <v>18000</v>
      </c>
    </row>
    <row r="154" spans="2:14" x14ac:dyDescent="0.2">
      <c r="B154" s="281"/>
      <c r="C154" s="282">
        <v>1</v>
      </c>
      <c r="D154" s="283"/>
      <c r="E154" s="282">
        <v>2</v>
      </c>
      <c r="F154" s="282">
        <v>32.9</v>
      </c>
      <c r="G154" s="282">
        <f t="shared" si="7"/>
        <v>40</v>
      </c>
      <c r="H154" s="282">
        <f t="shared" si="8"/>
        <v>4159.6711798839506</v>
      </c>
      <c r="I154" s="282">
        <f t="shared" si="9"/>
        <v>11404.431818181831</v>
      </c>
      <c r="J154" s="282">
        <f t="shared" si="11"/>
        <v>136853.18181818197</v>
      </c>
      <c r="K154" s="282"/>
      <c r="L154" s="240">
        <f t="shared" si="12"/>
        <v>6580</v>
      </c>
      <c r="M154" s="282"/>
      <c r="N154" s="240">
        <f t="shared" si="13"/>
        <v>18000</v>
      </c>
    </row>
    <row r="155" spans="2:14" x14ac:dyDescent="0.2">
      <c r="B155" s="281"/>
      <c r="C155" s="282">
        <v>1</v>
      </c>
      <c r="D155" s="283"/>
      <c r="E155" s="282">
        <v>2</v>
      </c>
      <c r="F155" s="282">
        <v>44.3</v>
      </c>
      <c r="G155" s="282">
        <f t="shared" si="7"/>
        <v>40</v>
      </c>
      <c r="H155" s="282">
        <f t="shared" si="8"/>
        <v>3572.3271085573606</v>
      </c>
      <c r="I155" s="282">
        <f t="shared" si="9"/>
        <v>13187.840909090921</v>
      </c>
      <c r="J155" s="282">
        <f t="shared" si="11"/>
        <v>158254.09090909106</v>
      </c>
      <c r="K155" s="282"/>
      <c r="L155" s="240">
        <f t="shared" si="12"/>
        <v>8860</v>
      </c>
      <c r="M155" s="282"/>
      <c r="N155" s="240">
        <f t="shared" si="13"/>
        <v>18000</v>
      </c>
    </row>
    <row r="156" spans="2:14" x14ac:dyDescent="0.2">
      <c r="B156" s="281"/>
      <c r="C156" s="282">
        <v>1</v>
      </c>
      <c r="D156" s="283"/>
      <c r="E156" s="282">
        <v>3</v>
      </c>
      <c r="F156" s="282">
        <v>66.900000000000006</v>
      </c>
      <c r="G156" s="282">
        <f t="shared" si="7"/>
        <v>44</v>
      </c>
      <c r="H156" s="282">
        <f t="shared" si="8"/>
        <v>3111.9513520858836</v>
      </c>
      <c r="I156" s="282">
        <f t="shared" si="9"/>
        <v>17349.128787878803</v>
      </c>
      <c r="J156" s="282">
        <f t="shared" si="11"/>
        <v>208189.54545454565</v>
      </c>
      <c r="K156" s="282"/>
      <c r="L156" s="240">
        <f t="shared" si="12"/>
        <v>13380.000000000002</v>
      </c>
      <c r="M156" s="282"/>
      <c r="N156" s="240">
        <f t="shared" si="13"/>
        <v>18000</v>
      </c>
    </row>
    <row r="157" spans="2:14" x14ac:dyDescent="0.2">
      <c r="B157" s="281"/>
      <c r="C157" s="282">
        <v>1</v>
      </c>
      <c r="D157" s="283"/>
      <c r="E157" s="282">
        <v>2</v>
      </c>
      <c r="F157" s="282">
        <v>32.9</v>
      </c>
      <c r="G157" s="282">
        <f t="shared" ref="G157:G220" si="14">IF(E157=1,34,IF(E157=2,40,IF(E157=3,44,IF(E157=4,49,IF(E157=5,52,IF(E157=6,55,IF(E157=1.5,27,IF(E157=2.5,34))))))))</f>
        <v>40</v>
      </c>
      <c r="H157" s="282">
        <f t="shared" ref="H157:H220" si="15">+$H$3*(F157+G157)/(1.57142857142857)/F157</f>
        <v>4159.6711798839506</v>
      </c>
      <c r="I157" s="282">
        <f t="shared" ref="I157:I220" si="16">+F157*H157/12</f>
        <v>11404.431818181831</v>
      </c>
      <c r="J157" s="282">
        <f t="shared" si="11"/>
        <v>136853.18181818197</v>
      </c>
      <c r="K157" s="282"/>
      <c r="L157" s="240">
        <f t="shared" si="12"/>
        <v>6580</v>
      </c>
      <c r="M157" s="282"/>
      <c r="N157" s="240">
        <f t="shared" si="13"/>
        <v>18000</v>
      </c>
    </row>
    <row r="158" spans="2:14" x14ac:dyDescent="0.2">
      <c r="B158" s="281"/>
      <c r="C158" s="282">
        <v>1</v>
      </c>
      <c r="D158" s="283"/>
      <c r="E158" s="282">
        <v>2</v>
      </c>
      <c r="F158" s="282">
        <v>44.3</v>
      </c>
      <c r="G158" s="282">
        <f t="shared" si="14"/>
        <v>40</v>
      </c>
      <c r="H158" s="282">
        <f t="shared" si="15"/>
        <v>3572.3271085573606</v>
      </c>
      <c r="I158" s="282">
        <f t="shared" si="16"/>
        <v>13187.840909090921</v>
      </c>
      <c r="J158" s="282">
        <f t="shared" ref="J158:J221" si="17">+I158*12</f>
        <v>158254.09090909106</v>
      </c>
      <c r="K158" s="282"/>
      <c r="L158" s="240">
        <f t="shared" ref="L158:L221" si="18">F158*$H$4</f>
        <v>8860</v>
      </c>
      <c r="M158" s="282"/>
      <c r="N158" s="240">
        <f t="shared" si="13"/>
        <v>18000</v>
      </c>
    </row>
    <row r="159" spans="2:14" x14ac:dyDescent="0.2">
      <c r="B159" s="281"/>
      <c r="C159" s="282">
        <v>1</v>
      </c>
      <c r="D159" s="283"/>
      <c r="E159" s="282">
        <v>3</v>
      </c>
      <c r="F159" s="282">
        <v>66.900000000000006</v>
      </c>
      <c r="G159" s="282">
        <f t="shared" si="14"/>
        <v>44</v>
      </c>
      <c r="H159" s="282">
        <f t="shared" si="15"/>
        <v>3111.9513520858836</v>
      </c>
      <c r="I159" s="282">
        <f t="shared" si="16"/>
        <v>17349.128787878803</v>
      </c>
      <c r="J159" s="282">
        <f t="shared" si="17"/>
        <v>208189.54545454565</v>
      </c>
      <c r="K159" s="282"/>
      <c r="L159" s="240">
        <f t="shared" si="18"/>
        <v>13380.000000000002</v>
      </c>
      <c r="M159" s="282"/>
      <c r="N159" s="240">
        <f t="shared" si="13"/>
        <v>18000</v>
      </c>
    </row>
    <row r="160" spans="2:14" x14ac:dyDescent="0.2">
      <c r="B160" s="281"/>
      <c r="C160" s="282">
        <v>1</v>
      </c>
      <c r="D160" s="283"/>
      <c r="E160" s="282">
        <v>2</v>
      </c>
      <c r="F160" s="282">
        <v>32.9</v>
      </c>
      <c r="G160" s="282">
        <f t="shared" si="14"/>
        <v>40</v>
      </c>
      <c r="H160" s="282">
        <f t="shared" si="15"/>
        <v>4159.6711798839506</v>
      </c>
      <c r="I160" s="282">
        <f t="shared" si="16"/>
        <v>11404.431818181831</v>
      </c>
      <c r="J160" s="282">
        <f t="shared" si="17"/>
        <v>136853.18181818197</v>
      </c>
      <c r="K160" s="282"/>
      <c r="L160" s="240">
        <f t="shared" si="18"/>
        <v>6580</v>
      </c>
      <c r="M160" s="282"/>
      <c r="N160" s="240">
        <f t="shared" si="13"/>
        <v>18000</v>
      </c>
    </row>
    <row r="161" spans="2:14" x14ac:dyDescent="0.2">
      <c r="B161" s="281"/>
      <c r="C161" s="282">
        <v>1</v>
      </c>
      <c r="D161" s="283"/>
      <c r="E161" s="282">
        <v>2</v>
      </c>
      <c r="F161" s="282">
        <v>44.3</v>
      </c>
      <c r="G161" s="282">
        <f t="shared" si="14"/>
        <v>40</v>
      </c>
      <c r="H161" s="282">
        <f t="shared" si="15"/>
        <v>3572.3271085573606</v>
      </c>
      <c r="I161" s="282">
        <f t="shared" si="16"/>
        <v>13187.840909090921</v>
      </c>
      <c r="J161" s="282">
        <f t="shared" si="17"/>
        <v>158254.09090909106</v>
      </c>
      <c r="K161" s="282"/>
      <c r="L161" s="240">
        <f t="shared" si="18"/>
        <v>8860</v>
      </c>
      <c r="M161" s="282"/>
      <c r="N161" s="240">
        <f t="shared" si="13"/>
        <v>18000</v>
      </c>
    </row>
    <row r="162" spans="2:14" x14ac:dyDescent="0.2">
      <c r="B162" s="281"/>
      <c r="C162" s="282">
        <v>1</v>
      </c>
      <c r="D162" s="283"/>
      <c r="E162" s="282">
        <v>3</v>
      </c>
      <c r="F162" s="282">
        <v>66.900000000000006</v>
      </c>
      <c r="G162" s="282">
        <f t="shared" si="14"/>
        <v>44</v>
      </c>
      <c r="H162" s="282">
        <f t="shared" si="15"/>
        <v>3111.9513520858836</v>
      </c>
      <c r="I162" s="282">
        <f t="shared" si="16"/>
        <v>17349.128787878803</v>
      </c>
      <c r="J162" s="282">
        <f t="shared" si="17"/>
        <v>208189.54545454565</v>
      </c>
      <c r="K162" s="282"/>
      <c r="L162" s="240">
        <f t="shared" si="18"/>
        <v>13380.000000000002</v>
      </c>
      <c r="M162" s="282"/>
      <c r="N162" s="240">
        <v>18000</v>
      </c>
    </row>
    <row r="163" spans="2:14" x14ac:dyDescent="0.2">
      <c r="B163" s="281"/>
      <c r="C163" s="282">
        <v>1</v>
      </c>
      <c r="D163" s="283"/>
      <c r="E163" s="282">
        <v>2</v>
      </c>
      <c r="F163" s="282">
        <v>32.9</v>
      </c>
      <c r="G163" s="282">
        <f t="shared" si="14"/>
        <v>40</v>
      </c>
      <c r="H163" s="282">
        <f t="shared" si="15"/>
        <v>4159.6711798839506</v>
      </c>
      <c r="I163" s="282">
        <f t="shared" si="16"/>
        <v>11404.431818181831</v>
      </c>
      <c r="J163" s="282">
        <f t="shared" si="17"/>
        <v>136853.18181818197</v>
      </c>
      <c r="K163" s="282"/>
      <c r="L163" s="240">
        <f t="shared" si="18"/>
        <v>6580</v>
      </c>
      <c r="M163" s="282"/>
      <c r="N163" s="240">
        <f t="shared" ref="N163:N179" si="19">$H$7*12</f>
        <v>9000</v>
      </c>
    </row>
    <row r="164" spans="2:14" x14ac:dyDescent="0.2">
      <c r="B164" s="281"/>
      <c r="C164" s="282">
        <v>1</v>
      </c>
      <c r="D164" s="283"/>
      <c r="E164" s="282">
        <v>2</v>
      </c>
      <c r="F164" s="282">
        <v>44.3</v>
      </c>
      <c r="G164" s="282">
        <f t="shared" si="14"/>
        <v>40</v>
      </c>
      <c r="H164" s="282">
        <f t="shared" si="15"/>
        <v>3572.3271085573606</v>
      </c>
      <c r="I164" s="282">
        <f t="shared" si="16"/>
        <v>13187.840909090921</v>
      </c>
      <c r="J164" s="282">
        <f t="shared" si="17"/>
        <v>158254.09090909106</v>
      </c>
      <c r="K164" s="282"/>
      <c r="L164" s="240">
        <f t="shared" si="18"/>
        <v>8860</v>
      </c>
      <c r="M164" s="282"/>
      <c r="N164" s="240">
        <f t="shared" si="19"/>
        <v>9000</v>
      </c>
    </row>
    <row r="165" spans="2:14" x14ac:dyDescent="0.2">
      <c r="B165" s="281"/>
      <c r="C165" s="282">
        <v>1</v>
      </c>
      <c r="D165" s="283"/>
      <c r="E165" s="282">
        <v>3</v>
      </c>
      <c r="F165" s="282">
        <v>66.900000000000006</v>
      </c>
      <c r="G165" s="282">
        <f t="shared" si="14"/>
        <v>44</v>
      </c>
      <c r="H165" s="282">
        <f t="shared" si="15"/>
        <v>3111.9513520858836</v>
      </c>
      <c r="I165" s="282">
        <f t="shared" si="16"/>
        <v>17349.128787878803</v>
      </c>
      <c r="J165" s="282">
        <f t="shared" si="17"/>
        <v>208189.54545454565</v>
      </c>
      <c r="K165" s="282"/>
      <c r="L165" s="240">
        <f t="shared" si="18"/>
        <v>13380.000000000002</v>
      </c>
      <c r="M165" s="282"/>
      <c r="N165" s="240">
        <f t="shared" si="19"/>
        <v>9000</v>
      </c>
    </row>
    <row r="166" spans="2:14" x14ac:dyDescent="0.2">
      <c r="B166" s="281"/>
      <c r="C166" s="282">
        <v>1</v>
      </c>
      <c r="D166" s="283"/>
      <c r="E166" s="282">
        <v>2</v>
      </c>
      <c r="F166" s="282">
        <v>32.9</v>
      </c>
      <c r="G166" s="282">
        <f t="shared" si="14"/>
        <v>40</v>
      </c>
      <c r="H166" s="282">
        <f t="shared" si="15"/>
        <v>4159.6711798839506</v>
      </c>
      <c r="I166" s="282">
        <f t="shared" si="16"/>
        <v>11404.431818181831</v>
      </c>
      <c r="J166" s="282">
        <f t="shared" si="17"/>
        <v>136853.18181818197</v>
      </c>
      <c r="K166" s="282"/>
      <c r="L166" s="240">
        <f t="shared" si="18"/>
        <v>6580</v>
      </c>
      <c r="M166" s="282"/>
      <c r="N166" s="240">
        <f t="shared" si="19"/>
        <v>9000</v>
      </c>
    </row>
    <row r="167" spans="2:14" x14ac:dyDescent="0.2">
      <c r="B167" s="281"/>
      <c r="C167" s="282">
        <v>1</v>
      </c>
      <c r="D167" s="283"/>
      <c r="E167" s="282">
        <v>2</v>
      </c>
      <c r="F167" s="282">
        <v>44.3</v>
      </c>
      <c r="G167" s="282">
        <f t="shared" si="14"/>
        <v>40</v>
      </c>
      <c r="H167" s="282">
        <f t="shared" si="15"/>
        <v>3572.3271085573606</v>
      </c>
      <c r="I167" s="282">
        <f t="shared" si="16"/>
        <v>13187.840909090921</v>
      </c>
      <c r="J167" s="282">
        <f t="shared" si="17"/>
        <v>158254.09090909106</v>
      </c>
      <c r="K167" s="282"/>
      <c r="L167" s="240">
        <f t="shared" si="18"/>
        <v>8860</v>
      </c>
      <c r="M167" s="282"/>
      <c r="N167" s="240">
        <f t="shared" si="19"/>
        <v>9000</v>
      </c>
    </row>
    <row r="168" spans="2:14" x14ac:dyDescent="0.2">
      <c r="B168" s="281"/>
      <c r="C168" s="282">
        <v>1</v>
      </c>
      <c r="D168" s="283"/>
      <c r="E168" s="282">
        <v>3</v>
      </c>
      <c r="F168" s="282">
        <v>66.099999999999994</v>
      </c>
      <c r="G168" s="282">
        <f t="shared" si="14"/>
        <v>44</v>
      </c>
      <c r="H168" s="282">
        <f t="shared" si="15"/>
        <v>3126.8945124467091</v>
      </c>
      <c r="I168" s="282">
        <f t="shared" si="16"/>
        <v>17223.977272727287</v>
      </c>
      <c r="J168" s="282">
        <f t="shared" si="17"/>
        <v>206687.72727272744</v>
      </c>
      <c r="K168" s="282"/>
      <c r="L168" s="240">
        <f t="shared" si="18"/>
        <v>13219.999999999998</v>
      </c>
      <c r="M168" s="282"/>
      <c r="N168" s="240">
        <f t="shared" si="19"/>
        <v>9000</v>
      </c>
    </row>
    <row r="169" spans="2:14" x14ac:dyDescent="0.2">
      <c r="B169" s="281"/>
      <c r="C169" s="282">
        <v>1</v>
      </c>
      <c r="D169" s="283"/>
      <c r="E169" s="282">
        <v>1</v>
      </c>
      <c r="F169" s="282">
        <v>29.3</v>
      </c>
      <c r="G169" s="282">
        <f t="shared" si="14"/>
        <v>34</v>
      </c>
      <c r="H169" s="282">
        <f t="shared" si="15"/>
        <v>4055.677939807636</v>
      </c>
      <c r="I169" s="282">
        <f t="shared" si="16"/>
        <v>9902.6136363636451</v>
      </c>
      <c r="J169" s="282">
        <f t="shared" si="17"/>
        <v>118831.36363636373</v>
      </c>
      <c r="K169" s="282"/>
      <c r="L169" s="240">
        <f t="shared" si="18"/>
        <v>5860</v>
      </c>
      <c r="M169" s="282"/>
      <c r="N169" s="240">
        <f t="shared" si="19"/>
        <v>9000</v>
      </c>
    </row>
    <row r="170" spans="2:14" x14ac:dyDescent="0.2">
      <c r="B170" s="281"/>
      <c r="C170" s="282">
        <v>1</v>
      </c>
      <c r="D170" s="283"/>
      <c r="E170" s="282">
        <v>1</v>
      </c>
      <c r="F170" s="282">
        <v>29.3</v>
      </c>
      <c r="G170" s="282">
        <f t="shared" si="14"/>
        <v>34</v>
      </c>
      <c r="H170" s="282">
        <f t="shared" si="15"/>
        <v>4055.677939807636</v>
      </c>
      <c r="I170" s="282">
        <f t="shared" si="16"/>
        <v>9902.6136363636451</v>
      </c>
      <c r="J170" s="282">
        <f t="shared" si="17"/>
        <v>118831.36363636373</v>
      </c>
      <c r="K170" s="282"/>
      <c r="L170" s="240">
        <f t="shared" si="18"/>
        <v>5860</v>
      </c>
      <c r="M170" s="282"/>
      <c r="N170" s="240">
        <f t="shared" si="19"/>
        <v>9000</v>
      </c>
    </row>
    <row r="171" spans="2:14" x14ac:dyDescent="0.2">
      <c r="B171" s="281"/>
      <c r="C171" s="282">
        <v>1</v>
      </c>
      <c r="D171" s="283"/>
      <c r="E171" s="282">
        <v>1</v>
      </c>
      <c r="F171" s="282">
        <v>29.3</v>
      </c>
      <c r="G171" s="282">
        <f t="shared" si="14"/>
        <v>34</v>
      </c>
      <c r="H171" s="282">
        <f t="shared" si="15"/>
        <v>4055.677939807636</v>
      </c>
      <c r="I171" s="282">
        <f t="shared" si="16"/>
        <v>9902.6136363636451</v>
      </c>
      <c r="J171" s="282">
        <f t="shared" si="17"/>
        <v>118831.36363636373</v>
      </c>
      <c r="K171" s="282"/>
      <c r="L171" s="240">
        <f t="shared" si="18"/>
        <v>5860</v>
      </c>
      <c r="M171" s="282"/>
      <c r="N171" s="240">
        <f t="shared" si="19"/>
        <v>9000</v>
      </c>
    </row>
    <row r="172" spans="2:14" x14ac:dyDescent="0.2">
      <c r="B172" s="281"/>
      <c r="C172" s="282">
        <v>1</v>
      </c>
      <c r="D172" s="283"/>
      <c r="E172" s="282">
        <v>1</v>
      </c>
      <c r="F172" s="282">
        <v>30.4</v>
      </c>
      <c r="G172" s="282">
        <f t="shared" si="14"/>
        <v>34</v>
      </c>
      <c r="H172" s="282">
        <f t="shared" si="15"/>
        <v>3976.8540669856502</v>
      </c>
      <c r="I172" s="282">
        <f t="shared" si="16"/>
        <v>10074.696969696981</v>
      </c>
      <c r="J172" s="282">
        <f t="shared" si="17"/>
        <v>120896.36363636376</v>
      </c>
      <c r="K172" s="282"/>
      <c r="L172" s="240">
        <f t="shared" si="18"/>
        <v>6080</v>
      </c>
      <c r="M172" s="282"/>
      <c r="N172" s="240">
        <f t="shared" si="19"/>
        <v>9000</v>
      </c>
    </row>
    <row r="173" spans="2:14" x14ac:dyDescent="0.2">
      <c r="B173" s="281"/>
      <c r="C173" s="282">
        <v>1</v>
      </c>
      <c r="D173" s="283"/>
      <c r="E173" s="282">
        <v>1</v>
      </c>
      <c r="F173" s="282">
        <v>30.4</v>
      </c>
      <c r="G173" s="282">
        <f t="shared" si="14"/>
        <v>34</v>
      </c>
      <c r="H173" s="282">
        <f t="shared" si="15"/>
        <v>3976.8540669856502</v>
      </c>
      <c r="I173" s="282">
        <f t="shared" si="16"/>
        <v>10074.696969696981</v>
      </c>
      <c r="J173" s="282">
        <f t="shared" si="17"/>
        <v>120896.36363636376</v>
      </c>
      <c r="K173" s="282"/>
      <c r="L173" s="240">
        <f t="shared" si="18"/>
        <v>6080</v>
      </c>
      <c r="M173" s="282"/>
      <c r="N173" s="240">
        <f t="shared" si="19"/>
        <v>9000</v>
      </c>
    </row>
    <row r="174" spans="2:14" x14ac:dyDescent="0.2">
      <c r="B174" s="281"/>
      <c r="C174" s="282">
        <v>1</v>
      </c>
      <c r="D174" s="283"/>
      <c r="E174" s="282">
        <v>2</v>
      </c>
      <c r="F174" s="282">
        <v>39.6</v>
      </c>
      <c r="G174" s="282">
        <f t="shared" si="14"/>
        <v>40</v>
      </c>
      <c r="H174" s="282">
        <f t="shared" si="15"/>
        <v>3773.5078053259899</v>
      </c>
      <c r="I174" s="282">
        <f t="shared" si="16"/>
        <v>12452.575757575767</v>
      </c>
      <c r="J174" s="282">
        <f t="shared" si="17"/>
        <v>149430.9090909092</v>
      </c>
      <c r="K174" s="282"/>
      <c r="L174" s="240">
        <f t="shared" si="18"/>
        <v>7920</v>
      </c>
      <c r="M174" s="282"/>
      <c r="N174" s="240">
        <f t="shared" si="19"/>
        <v>9000</v>
      </c>
    </row>
    <row r="175" spans="2:14" x14ac:dyDescent="0.2">
      <c r="B175" s="281"/>
      <c r="C175" s="282">
        <v>1</v>
      </c>
      <c r="D175" s="283"/>
      <c r="E175" s="282">
        <v>2</v>
      </c>
      <c r="F175" s="282">
        <v>40.9</v>
      </c>
      <c r="G175" s="282">
        <f t="shared" si="14"/>
        <v>40</v>
      </c>
      <c r="H175" s="282">
        <f t="shared" si="15"/>
        <v>3713.2362747277211</v>
      </c>
      <c r="I175" s="282">
        <f t="shared" si="16"/>
        <v>12655.946969696983</v>
      </c>
      <c r="J175" s="282">
        <f t="shared" si="17"/>
        <v>151871.36363636379</v>
      </c>
      <c r="K175" s="282"/>
      <c r="L175" s="240">
        <f t="shared" si="18"/>
        <v>8180</v>
      </c>
      <c r="M175" s="282"/>
      <c r="N175" s="240">
        <f t="shared" si="19"/>
        <v>9000</v>
      </c>
    </row>
    <row r="176" spans="2:14" x14ac:dyDescent="0.2">
      <c r="B176" s="281"/>
      <c r="C176" s="282">
        <v>1</v>
      </c>
      <c r="D176" s="283"/>
      <c r="E176" s="282">
        <v>4</v>
      </c>
      <c r="F176" s="282">
        <v>78.7</v>
      </c>
      <c r="G176" s="282">
        <f t="shared" si="14"/>
        <v>49</v>
      </c>
      <c r="H176" s="282">
        <f t="shared" si="15"/>
        <v>3046.0956451426614</v>
      </c>
      <c r="I176" s="282">
        <f t="shared" si="16"/>
        <v>19977.310606060622</v>
      </c>
      <c r="J176" s="282">
        <f t="shared" si="17"/>
        <v>239727.72727272747</v>
      </c>
      <c r="K176" s="282"/>
      <c r="L176" s="240">
        <f t="shared" si="18"/>
        <v>15740</v>
      </c>
      <c r="M176" s="282"/>
      <c r="N176" s="240">
        <f t="shared" si="19"/>
        <v>9000</v>
      </c>
    </row>
    <row r="177" spans="2:14" x14ac:dyDescent="0.2">
      <c r="B177" s="281"/>
      <c r="C177" s="282">
        <v>1</v>
      </c>
      <c r="D177" s="283"/>
      <c r="E177" s="282">
        <v>1</v>
      </c>
      <c r="F177" s="282">
        <v>29.3</v>
      </c>
      <c r="G177" s="282">
        <f t="shared" si="14"/>
        <v>34</v>
      </c>
      <c r="H177" s="282">
        <f t="shared" si="15"/>
        <v>4055.677939807636</v>
      </c>
      <c r="I177" s="282">
        <f t="shared" si="16"/>
        <v>9902.6136363636451</v>
      </c>
      <c r="J177" s="282">
        <f t="shared" si="17"/>
        <v>118831.36363636373</v>
      </c>
      <c r="K177" s="282"/>
      <c r="L177" s="240">
        <f t="shared" si="18"/>
        <v>5860</v>
      </c>
      <c r="M177" s="282"/>
      <c r="N177" s="240">
        <f t="shared" si="19"/>
        <v>9000</v>
      </c>
    </row>
    <row r="178" spans="2:14" x14ac:dyDescent="0.2">
      <c r="B178" s="281"/>
      <c r="C178" s="282">
        <v>1</v>
      </c>
      <c r="D178" s="283"/>
      <c r="E178" s="282">
        <v>1</v>
      </c>
      <c r="F178" s="282">
        <v>29.3</v>
      </c>
      <c r="G178" s="282">
        <f t="shared" si="14"/>
        <v>34</v>
      </c>
      <c r="H178" s="282">
        <f t="shared" si="15"/>
        <v>4055.677939807636</v>
      </c>
      <c r="I178" s="282">
        <f t="shared" si="16"/>
        <v>9902.6136363636451</v>
      </c>
      <c r="J178" s="282">
        <f t="shared" si="17"/>
        <v>118831.36363636373</v>
      </c>
      <c r="K178" s="282"/>
      <c r="L178" s="240">
        <f t="shared" si="18"/>
        <v>5860</v>
      </c>
      <c r="M178" s="282"/>
      <c r="N178" s="240">
        <f t="shared" si="19"/>
        <v>9000</v>
      </c>
    </row>
    <row r="179" spans="2:14" x14ac:dyDescent="0.2">
      <c r="B179" s="281"/>
      <c r="C179" s="282">
        <v>1</v>
      </c>
      <c r="D179" s="283"/>
      <c r="E179" s="282">
        <v>1</v>
      </c>
      <c r="F179" s="282">
        <v>30.4</v>
      </c>
      <c r="G179" s="282">
        <f t="shared" si="14"/>
        <v>34</v>
      </c>
      <c r="H179" s="282">
        <f t="shared" si="15"/>
        <v>3976.8540669856502</v>
      </c>
      <c r="I179" s="282">
        <f t="shared" si="16"/>
        <v>10074.696969696981</v>
      </c>
      <c r="J179" s="282">
        <f t="shared" si="17"/>
        <v>120896.36363636376</v>
      </c>
      <c r="K179" s="282"/>
      <c r="L179" s="240">
        <f t="shared" si="18"/>
        <v>6080</v>
      </c>
      <c r="M179" s="282"/>
      <c r="N179" s="240">
        <f t="shared" si="19"/>
        <v>9000</v>
      </c>
    </row>
    <row r="180" spans="2:14" x14ac:dyDescent="0.2">
      <c r="B180" s="281"/>
      <c r="C180" s="282">
        <v>1</v>
      </c>
      <c r="D180" s="283"/>
      <c r="E180" s="282">
        <v>1</v>
      </c>
      <c r="F180" s="282">
        <v>30.4</v>
      </c>
      <c r="G180" s="282">
        <f t="shared" si="14"/>
        <v>34</v>
      </c>
      <c r="H180" s="282">
        <f t="shared" si="15"/>
        <v>3976.8540669856502</v>
      </c>
      <c r="I180" s="282">
        <f t="shared" si="16"/>
        <v>10074.696969696981</v>
      </c>
      <c r="J180" s="282">
        <f t="shared" si="17"/>
        <v>120896.36363636376</v>
      </c>
      <c r="K180" s="282"/>
      <c r="L180" s="240">
        <f t="shared" si="18"/>
        <v>6080</v>
      </c>
      <c r="M180" s="282"/>
      <c r="N180" s="240"/>
    </row>
    <row r="181" spans="2:14" x14ac:dyDescent="0.2">
      <c r="B181" s="281"/>
      <c r="C181" s="282">
        <v>1</v>
      </c>
      <c r="D181" s="283"/>
      <c r="E181" s="282">
        <v>2</v>
      </c>
      <c r="F181" s="282">
        <v>39.6</v>
      </c>
      <c r="G181" s="282">
        <f t="shared" si="14"/>
        <v>40</v>
      </c>
      <c r="H181" s="282">
        <f t="shared" si="15"/>
        <v>3773.5078053259899</v>
      </c>
      <c r="I181" s="282">
        <f t="shared" si="16"/>
        <v>12452.575757575767</v>
      </c>
      <c r="J181" s="282">
        <f t="shared" si="17"/>
        <v>149430.9090909092</v>
      </c>
      <c r="K181" s="282"/>
      <c r="L181" s="240">
        <f t="shared" si="18"/>
        <v>7920</v>
      </c>
      <c r="M181" s="282"/>
      <c r="N181" s="240"/>
    </row>
    <row r="182" spans="2:14" x14ac:dyDescent="0.2">
      <c r="B182" s="281"/>
      <c r="C182" s="282">
        <v>1</v>
      </c>
      <c r="D182" s="283"/>
      <c r="E182" s="282">
        <v>2</v>
      </c>
      <c r="F182" s="282">
        <v>40.9</v>
      </c>
      <c r="G182" s="282">
        <f t="shared" si="14"/>
        <v>40</v>
      </c>
      <c r="H182" s="282">
        <f t="shared" si="15"/>
        <v>3713.2362747277211</v>
      </c>
      <c r="I182" s="282">
        <f t="shared" si="16"/>
        <v>12655.946969696983</v>
      </c>
      <c r="J182" s="282">
        <f t="shared" si="17"/>
        <v>151871.36363636379</v>
      </c>
      <c r="K182" s="282"/>
      <c r="L182" s="240">
        <f t="shared" si="18"/>
        <v>8180</v>
      </c>
      <c r="M182" s="282"/>
      <c r="N182" s="240"/>
    </row>
    <row r="183" spans="2:14" x14ac:dyDescent="0.2">
      <c r="B183" s="281"/>
      <c r="C183" s="282">
        <v>1</v>
      </c>
      <c r="D183" s="283"/>
      <c r="E183" s="282">
        <v>2</v>
      </c>
      <c r="F183" s="282">
        <v>43.1</v>
      </c>
      <c r="G183" s="282">
        <f t="shared" si="14"/>
        <v>40</v>
      </c>
      <c r="H183" s="282">
        <f t="shared" si="15"/>
        <v>3619.521198059484</v>
      </c>
      <c r="I183" s="282">
        <f t="shared" si="16"/>
        <v>13000.113636363647</v>
      </c>
      <c r="J183" s="282">
        <f t="shared" si="17"/>
        <v>156001.36363636376</v>
      </c>
      <c r="K183" s="282"/>
      <c r="L183" s="240">
        <f t="shared" si="18"/>
        <v>8620</v>
      </c>
      <c r="M183" s="282"/>
      <c r="N183" s="240"/>
    </row>
    <row r="184" spans="2:14" x14ac:dyDescent="0.2">
      <c r="B184" s="281"/>
      <c r="C184" s="282">
        <v>1</v>
      </c>
      <c r="D184" s="283"/>
      <c r="E184" s="282">
        <v>4</v>
      </c>
      <c r="F184" s="282">
        <v>78.7</v>
      </c>
      <c r="G184" s="282">
        <f t="shared" si="14"/>
        <v>49</v>
      </c>
      <c r="H184" s="282">
        <f t="shared" si="15"/>
        <v>3046.0956451426614</v>
      </c>
      <c r="I184" s="282">
        <f t="shared" si="16"/>
        <v>19977.310606060622</v>
      </c>
      <c r="J184" s="282">
        <f t="shared" si="17"/>
        <v>239727.72727272747</v>
      </c>
      <c r="K184" s="282"/>
      <c r="L184" s="240">
        <f t="shared" si="18"/>
        <v>15740</v>
      </c>
      <c r="M184" s="282"/>
      <c r="N184" s="240"/>
    </row>
    <row r="185" spans="2:14" x14ac:dyDescent="0.2">
      <c r="B185" s="281"/>
      <c r="C185" s="282">
        <v>1</v>
      </c>
      <c r="D185" s="283"/>
      <c r="E185" s="282">
        <v>1</v>
      </c>
      <c r="F185" s="282">
        <v>29.3</v>
      </c>
      <c r="G185" s="282">
        <f t="shared" si="14"/>
        <v>34</v>
      </c>
      <c r="H185" s="282">
        <f t="shared" si="15"/>
        <v>4055.677939807636</v>
      </c>
      <c r="I185" s="282">
        <f t="shared" si="16"/>
        <v>9902.6136363636451</v>
      </c>
      <c r="J185" s="282">
        <f t="shared" si="17"/>
        <v>118831.36363636373</v>
      </c>
      <c r="K185" s="282"/>
      <c r="L185" s="240">
        <f t="shared" si="18"/>
        <v>5860</v>
      </c>
      <c r="M185" s="282"/>
      <c r="N185" s="240"/>
    </row>
    <row r="186" spans="2:14" x14ac:dyDescent="0.2">
      <c r="B186" s="281"/>
      <c r="C186" s="282">
        <v>1</v>
      </c>
      <c r="D186" s="283"/>
      <c r="E186" s="282">
        <v>1</v>
      </c>
      <c r="F186" s="282">
        <v>29.3</v>
      </c>
      <c r="G186" s="282">
        <f t="shared" si="14"/>
        <v>34</v>
      </c>
      <c r="H186" s="282">
        <f t="shared" si="15"/>
        <v>4055.677939807636</v>
      </c>
      <c r="I186" s="282">
        <f t="shared" si="16"/>
        <v>9902.6136363636451</v>
      </c>
      <c r="J186" s="282">
        <f t="shared" si="17"/>
        <v>118831.36363636373</v>
      </c>
      <c r="K186" s="282"/>
      <c r="L186" s="240">
        <f t="shared" si="18"/>
        <v>5860</v>
      </c>
      <c r="M186" s="282"/>
      <c r="N186" s="240"/>
    </row>
    <row r="187" spans="2:14" x14ac:dyDescent="0.2">
      <c r="B187" s="281"/>
      <c r="C187" s="282">
        <v>1</v>
      </c>
      <c r="D187" s="283"/>
      <c r="E187" s="282">
        <v>1</v>
      </c>
      <c r="F187" s="282">
        <v>30.4</v>
      </c>
      <c r="G187" s="282">
        <f t="shared" si="14"/>
        <v>34</v>
      </c>
      <c r="H187" s="282">
        <f t="shared" si="15"/>
        <v>3976.8540669856502</v>
      </c>
      <c r="I187" s="282">
        <f t="shared" si="16"/>
        <v>10074.696969696981</v>
      </c>
      <c r="J187" s="282">
        <f t="shared" si="17"/>
        <v>120896.36363636376</v>
      </c>
      <c r="K187" s="282"/>
      <c r="L187" s="240">
        <f t="shared" si="18"/>
        <v>6080</v>
      </c>
      <c r="M187" s="282"/>
      <c r="N187" s="240"/>
    </row>
    <row r="188" spans="2:14" x14ac:dyDescent="0.2">
      <c r="B188" s="281"/>
      <c r="C188" s="282">
        <v>1</v>
      </c>
      <c r="D188" s="283"/>
      <c r="E188" s="282">
        <v>1</v>
      </c>
      <c r="F188" s="282">
        <v>30.4</v>
      </c>
      <c r="G188" s="282">
        <f t="shared" si="14"/>
        <v>34</v>
      </c>
      <c r="H188" s="282">
        <f t="shared" si="15"/>
        <v>3976.8540669856502</v>
      </c>
      <c r="I188" s="282">
        <f t="shared" si="16"/>
        <v>10074.696969696981</v>
      </c>
      <c r="J188" s="282">
        <f t="shared" si="17"/>
        <v>120896.36363636376</v>
      </c>
      <c r="K188" s="282"/>
      <c r="L188" s="240">
        <f t="shared" si="18"/>
        <v>6080</v>
      </c>
      <c r="M188" s="282"/>
      <c r="N188" s="240"/>
    </row>
    <row r="189" spans="2:14" x14ac:dyDescent="0.2">
      <c r="B189" s="281"/>
      <c r="C189" s="282">
        <v>1</v>
      </c>
      <c r="D189" s="283"/>
      <c r="E189" s="282">
        <v>2</v>
      </c>
      <c r="F189" s="282">
        <v>39.6</v>
      </c>
      <c r="G189" s="282">
        <f t="shared" si="14"/>
        <v>40</v>
      </c>
      <c r="H189" s="282">
        <f t="shared" si="15"/>
        <v>3773.5078053259899</v>
      </c>
      <c r="I189" s="282">
        <f t="shared" si="16"/>
        <v>12452.575757575767</v>
      </c>
      <c r="J189" s="282">
        <f t="shared" si="17"/>
        <v>149430.9090909092</v>
      </c>
      <c r="K189" s="282"/>
      <c r="L189" s="240">
        <f t="shared" si="18"/>
        <v>7920</v>
      </c>
      <c r="M189" s="282"/>
      <c r="N189" s="240"/>
    </row>
    <row r="190" spans="2:14" x14ac:dyDescent="0.2">
      <c r="B190" s="281"/>
      <c r="C190" s="282">
        <v>1</v>
      </c>
      <c r="D190" s="283"/>
      <c r="E190" s="282">
        <v>2</v>
      </c>
      <c r="F190" s="282">
        <v>40.9</v>
      </c>
      <c r="G190" s="282">
        <f t="shared" si="14"/>
        <v>40</v>
      </c>
      <c r="H190" s="282">
        <f t="shared" si="15"/>
        <v>3713.2362747277211</v>
      </c>
      <c r="I190" s="282">
        <f t="shared" si="16"/>
        <v>12655.946969696983</v>
      </c>
      <c r="J190" s="282">
        <f t="shared" si="17"/>
        <v>151871.36363636379</v>
      </c>
      <c r="K190" s="282"/>
      <c r="L190" s="240">
        <f t="shared" si="18"/>
        <v>8180</v>
      </c>
      <c r="M190" s="282"/>
      <c r="N190" s="240"/>
    </row>
    <row r="191" spans="2:14" x14ac:dyDescent="0.2">
      <c r="B191" s="281"/>
      <c r="C191" s="282">
        <v>1</v>
      </c>
      <c r="D191" s="283"/>
      <c r="E191" s="282">
        <v>2</v>
      </c>
      <c r="F191" s="282">
        <v>43.1</v>
      </c>
      <c r="G191" s="282">
        <f t="shared" si="14"/>
        <v>40</v>
      </c>
      <c r="H191" s="282">
        <f t="shared" si="15"/>
        <v>3619.521198059484</v>
      </c>
      <c r="I191" s="282">
        <f t="shared" si="16"/>
        <v>13000.113636363647</v>
      </c>
      <c r="J191" s="282">
        <f t="shared" si="17"/>
        <v>156001.36363636376</v>
      </c>
      <c r="K191" s="282"/>
      <c r="L191" s="240">
        <f t="shared" si="18"/>
        <v>8620</v>
      </c>
      <c r="M191" s="282"/>
      <c r="N191" s="240"/>
    </row>
    <row r="192" spans="2:14" x14ac:dyDescent="0.2">
      <c r="B192" s="281"/>
      <c r="C192" s="282">
        <v>1</v>
      </c>
      <c r="D192" s="283"/>
      <c r="E192" s="282">
        <v>4</v>
      </c>
      <c r="F192" s="282">
        <v>78.7</v>
      </c>
      <c r="G192" s="282">
        <f t="shared" si="14"/>
        <v>49</v>
      </c>
      <c r="H192" s="282">
        <f t="shared" si="15"/>
        <v>3046.0956451426614</v>
      </c>
      <c r="I192" s="282">
        <f t="shared" si="16"/>
        <v>19977.310606060622</v>
      </c>
      <c r="J192" s="282">
        <f t="shared" si="17"/>
        <v>239727.72727272747</v>
      </c>
      <c r="K192" s="282"/>
      <c r="L192" s="240">
        <f t="shared" si="18"/>
        <v>15740</v>
      </c>
      <c r="M192" s="282"/>
      <c r="N192" s="240"/>
    </row>
    <row r="193" spans="2:14" x14ac:dyDescent="0.2">
      <c r="B193" s="281"/>
      <c r="C193" s="282">
        <v>1</v>
      </c>
      <c r="D193" s="283"/>
      <c r="E193" s="282">
        <v>1</v>
      </c>
      <c r="F193" s="282">
        <v>29.3</v>
      </c>
      <c r="G193" s="282">
        <f t="shared" si="14"/>
        <v>34</v>
      </c>
      <c r="H193" s="282">
        <f t="shared" si="15"/>
        <v>4055.677939807636</v>
      </c>
      <c r="I193" s="282">
        <f t="shared" si="16"/>
        <v>9902.6136363636451</v>
      </c>
      <c r="J193" s="282">
        <f t="shared" si="17"/>
        <v>118831.36363636373</v>
      </c>
      <c r="K193" s="282"/>
      <c r="L193" s="240">
        <f t="shared" si="18"/>
        <v>5860</v>
      </c>
      <c r="M193" s="282"/>
      <c r="N193" s="240"/>
    </row>
    <row r="194" spans="2:14" x14ac:dyDescent="0.2">
      <c r="B194" s="281"/>
      <c r="C194" s="282">
        <v>1</v>
      </c>
      <c r="D194" s="283"/>
      <c r="E194" s="282">
        <v>1</v>
      </c>
      <c r="F194" s="282">
        <v>29.3</v>
      </c>
      <c r="G194" s="282">
        <f t="shared" si="14"/>
        <v>34</v>
      </c>
      <c r="H194" s="282">
        <f t="shared" si="15"/>
        <v>4055.677939807636</v>
      </c>
      <c r="I194" s="282">
        <f t="shared" si="16"/>
        <v>9902.6136363636451</v>
      </c>
      <c r="J194" s="282">
        <f t="shared" si="17"/>
        <v>118831.36363636373</v>
      </c>
      <c r="K194" s="282"/>
      <c r="L194" s="240">
        <f t="shared" si="18"/>
        <v>5860</v>
      </c>
      <c r="M194" s="282"/>
      <c r="N194" s="240"/>
    </row>
    <row r="195" spans="2:14" x14ac:dyDescent="0.2">
      <c r="B195" s="281"/>
      <c r="C195" s="282">
        <v>1</v>
      </c>
      <c r="D195" s="283"/>
      <c r="E195" s="282">
        <v>1</v>
      </c>
      <c r="F195" s="282">
        <v>30.4</v>
      </c>
      <c r="G195" s="282">
        <f t="shared" si="14"/>
        <v>34</v>
      </c>
      <c r="H195" s="282">
        <f t="shared" si="15"/>
        <v>3976.8540669856502</v>
      </c>
      <c r="I195" s="282">
        <f t="shared" si="16"/>
        <v>10074.696969696981</v>
      </c>
      <c r="J195" s="282">
        <f t="shared" si="17"/>
        <v>120896.36363636376</v>
      </c>
      <c r="K195" s="282"/>
      <c r="L195" s="240">
        <f t="shared" si="18"/>
        <v>6080</v>
      </c>
      <c r="M195" s="282"/>
      <c r="N195" s="240"/>
    </row>
    <row r="196" spans="2:14" x14ac:dyDescent="0.2">
      <c r="B196" s="281"/>
      <c r="C196" s="282">
        <v>1</v>
      </c>
      <c r="D196" s="283"/>
      <c r="E196" s="282">
        <v>1</v>
      </c>
      <c r="F196" s="282">
        <v>30.4</v>
      </c>
      <c r="G196" s="282">
        <f t="shared" si="14"/>
        <v>34</v>
      </c>
      <c r="H196" s="282">
        <f t="shared" si="15"/>
        <v>3976.8540669856502</v>
      </c>
      <c r="I196" s="282">
        <f t="shared" si="16"/>
        <v>10074.696969696981</v>
      </c>
      <c r="J196" s="282">
        <f t="shared" si="17"/>
        <v>120896.36363636376</v>
      </c>
      <c r="K196" s="282"/>
      <c r="L196" s="240">
        <f t="shared" si="18"/>
        <v>6080</v>
      </c>
      <c r="M196" s="282"/>
      <c r="N196" s="240"/>
    </row>
    <row r="197" spans="2:14" x14ac:dyDescent="0.2">
      <c r="B197" s="281"/>
      <c r="C197" s="282">
        <v>1</v>
      </c>
      <c r="D197" s="283"/>
      <c r="E197" s="282">
        <v>2</v>
      </c>
      <c r="F197" s="282">
        <v>39.6</v>
      </c>
      <c r="G197" s="282">
        <f t="shared" si="14"/>
        <v>40</v>
      </c>
      <c r="H197" s="282">
        <f t="shared" si="15"/>
        <v>3773.5078053259899</v>
      </c>
      <c r="I197" s="282">
        <f t="shared" si="16"/>
        <v>12452.575757575767</v>
      </c>
      <c r="J197" s="282">
        <f t="shared" si="17"/>
        <v>149430.9090909092</v>
      </c>
      <c r="K197" s="282"/>
      <c r="L197" s="240">
        <f t="shared" si="18"/>
        <v>7920</v>
      </c>
      <c r="M197" s="282"/>
      <c r="N197" s="240"/>
    </row>
    <row r="198" spans="2:14" x14ac:dyDescent="0.2">
      <c r="B198" s="281"/>
      <c r="C198" s="282">
        <v>1</v>
      </c>
      <c r="D198" s="283"/>
      <c r="E198" s="282">
        <v>2</v>
      </c>
      <c r="F198" s="282">
        <v>40.9</v>
      </c>
      <c r="G198" s="282">
        <f t="shared" si="14"/>
        <v>40</v>
      </c>
      <c r="H198" s="282">
        <f t="shared" si="15"/>
        <v>3713.2362747277211</v>
      </c>
      <c r="I198" s="282">
        <f t="shared" si="16"/>
        <v>12655.946969696983</v>
      </c>
      <c r="J198" s="282">
        <f t="shared" si="17"/>
        <v>151871.36363636379</v>
      </c>
      <c r="K198" s="282"/>
      <c r="L198" s="240">
        <f t="shared" si="18"/>
        <v>8180</v>
      </c>
      <c r="M198" s="282"/>
      <c r="N198" s="240"/>
    </row>
    <row r="199" spans="2:14" x14ac:dyDescent="0.2">
      <c r="B199" s="281"/>
      <c r="C199" s="282">
        <v>1</v>
      </c>
      <c r="D199" s="283"/>
      <c r="E199" s="282">
        <v>2</v>
      </c>
      <c r="F199" s="282">
        <v>43.1</v>
      </c>
      <c r="G199" s="282">
        <f t="shared" si="14"/>
        <v>40</v>
      </c>
      <c r="H199" s="282">
        <f t="shared" si="15"/>
        <v>3619.521198059484</v>
      </c>
      <c r="I199" s="282">
        <f t="shared" si="16"/>
        <v>13000.113636363647</v>
      </c>
      <c r="J199" s="282">
        <f t="shared" si="17"/>
        <v>156001.36363636376</v>
      </c>
      <c r="K199" s="282"/>
      <c r="L199" s="240">
        <f t="shared" si="18"/>
        <v>8620</v>
      </c>
      <c r="M199" s="282"/>
      <c r="N199" s="240"/>
    </row>
    <row r="200" spans="2:14" x14ac:dyDescent="0.2">
      <c r="B200" s="281"/>
      <c r="C200" s="282">
        <v>1</v>
      </c>
      <c r="D200" s="283"/>
      <c r="E200" s="282">
        <v>4</v>
      </c>
      <c r="F200" s="282">
        <v>78.7</v>
      </c>
      <c r="G200" s="282">
        <f t="shared" si="14"/>
        <v>49</v>
      </c>
      <c r="H200" s="282">
        <f t="shared" si="15"/>
        <v>3046.0956451426614</v>
      </c>
      <c r="I200" s="282">
        <f t="shared" si="16"/>
        <v>19977.310606060622</v>
      </c>
      <c r="J200" s="282">
        <f t="shared" si="17"/>
        <v>239727.72727272747</v>
      </c>
      <c r="K200" s="282"/>
      <c r="L200" s="240">
        <f t="shared" si="18"/>
        <v>15740</v>
      </c>
      <c r="M200" s="282"/>
      <c r="N200" s="240"/>
    </row>
    <row r="201" spans="2:14" x14ac:dyDescent="0.2">
      <c r="B201" s="281"/>
      <c r="C201" s="282">
        <v>1</v>
      </c>
      <c r="D201" s="283"/>
      <c r="E201" s="282">
        <v>1</v>
      </c>
      <c r="F201" s="282">
        <v>29.3</v>
      </c>
      <c r="G201" s="282">
        <f t="shared" si="14"/>
        <v>34</v>
      </c>
      <c r="H201" s="282">
        <f t="shared" si="15"/>
        <v>4055.677939807636</v>
      </c>
      <c r="I201" s="282">
        <f t="shared" si="16"/>
        <v>9902.6136363636451</v>
      </c>
      <c r="J201" s="282">
        <f t="shared" si="17"/>
        <v>118831.36363636373</v>
      </c>
      <c r="K201" s="282"/>
      <c r="L201" s="240">
        <f t="shared" si="18"/>
        <v>5860</v>
      </c>
      <c r="M201" s="282"/>
      <c r="N201" s="240"/>
    </row>
    <row r="202" spans="2:14" x14ac:dyDescent="0.2">
      <c r="B202" s="281"/>
      <c r="C202" s="282">
        <v>1</v>
      </c>
      <c r="D202" s="283"/>
      <c r="E202" s="282">
        <v>1</v>
      </c>
      <c r="F202" s="282">
        <v>29.3</v>
      </c>
      <c r="G202" s="282">
        <f t="shared" si="14"/>
        <v>34</v>
      </c>
      <c r="H202" s="282">
        <f t="shared" si="15"/>
        <v>4055.677939807636</v>
      </c>
      <c r="I202" s="282">
        <f t="shared" si="16"/>
        <v>9902.6136363636451</v>
      </c>
      <c r="J202" s="282">
        <f t="shared" si="17"/>
        <v>118831.36363636373</v>
      </c>
      <c r="K202" s="282"/>
      <c r="L202" s="240">
        <f t="shared" si="18"/>
        <v>5860</v>
      </c>
      <c r="M202" s="282"/>
      <c r="N202" s="240"/>
    </row>
    <row r="203" spans="2:14" x14ac:dyDescent="0.2">
      <c r="B203" s="281"/>
      <c r="C203" s="282">
        <v>1</v>
      </c>
      <c r="D203" s="283"/>
      <c r="E203" s="282">
        <v>1</v>
      </c>
      <c r="F203" s="282">
        <v>30.4</v>
      </c>
      <c r="G203" s="282">
        <f t="shared" si="14"/>
        <v>34</v>
      </c>
      <c r="H203" s="282">
        <f t="shared" si="15"/>
        <v>3976.8540669856502</v>
      </c>
      <c r="I203" s="282">
        <f t="shared" si="16"/>
        <v>10074.696969696981</v>
      </c>
      <c r="J203" s="282">
        <f t="shared" si="17"/>
        <v>120896.36363636376</v>
      </c>
      <c r="K203" s="282"/>
      <c r="L203" s="240">
        <f t="shared" si="18"/>
        <v>6080</v>
      </c>
      <c r="M203" s="282"/>
      <c r="N203" s="240"/>
    </row>
    <row r="204" spans="2:14" x14ac:dyDescent="0.2">
      <c r="B204" s="281"/>
      <c r="C204" s="282">
        <v>1</v>
      </c>
      <c r="D204" s="283"/>
      <c r="E204" s="282">
        <v>1</v>
      </c>
      <c r="F204" s="282">
        <v>30.4</v>
      </c>
      <c r="G204" s="282">
        <f t="shared" si="14"/>
        <v>34</v>
      </c>
      <c r="H204" s="282">
        <f t="shared" si="15"/>
        <v>3976.8540669856502</v>
      </c>
      <c r="I204" s="282">
        <f t="shared" si="16"/>
        <v>10074.696969696981</v>
      </c>
      <c r="J204" s="282">
        <f t="shared" si="17"/>
        <v>120896.36363636376</v>
      </c>
      <c r="K204" s="282"/>
      <c r="L204" s="240">
        <f t="shared" si="18"/>
        <v>6080</v>
      </c>
      <c r="M204" s="282"/>
      <c r="N204" s="240"/>
    </row>
    <row r="205" spans="2:14" x14ac:dyDescent="0.2">
      <c r="B205" s="281"/>
      <c r="C205" s="282">
        <v>1</v>
      </c>
      <c r="D205" s="283"/>
      <c r="E205" s="282">
        <v>2</v>
      </c>
      <c r="F205" s="282">
        <v>39.6</v>
      </c>
      <c r="G205" s="282">
        <f t="shared" si="14"/>
        <v>40</v>
      </c>
      <c r="H205" s="282">
        <f t="shared" si="15"/>
        <v>3773.5078053259899</v>
      </c>
      <c r="I205" s="282">
        <f t="shared" si="16"/>
        <v>12452.575757575767</v>
      </c>
      <c r="J205" s="282">
        <f t="shared" si="17"/>
        <v>149430.9090909092</v>
      </c>
      <c r="K205" s="282"/>
      <c r="L205" s="240">
        <f t="shared" si="18"/>
        <v>7920</v>
      </c>
      <c r="M205" s="282"/>
      <c r="N205" s="240"/>
    </row>
    <row r="206" spans="2:14" x14ac:dyDescent="0.2">
      <c r="B206" s="281"/>
      <c r="C206" s="282">
        <v>1</v>
      </c>
      <c r="D206" s="283"/>
      <c r="E206" s="282">
        <v>2</v>
      </c>
      <c r="F206" s="282">
        <v>40.9</v>
      </c>
      <c r="G206" s="282">
        <f t="shared" si="14"/>
        <v>40</v>
      </c>
      <c r="H206" s="282">
        <f t="shared" si="15"/>
        <v>3713.2362747277211</v>
      </c>
      <c r="I206" s="282">
        <f t="shared" si="16"/>
        <v>12655.946969696983</v>
      </c>
      <c r="J206" s="282">
        <f t="shared" si="17"/>
        <v>151871.36363636379</v>
      </c>
      <c r="K206" s="282"/>
      <c r="L206" s="240">
        <f t="shared" si="18"/>
        <v>8180</v>
      </c>
      <c r="M206" s="282"/>
      <c r="N206" s="240"/>
    </row>
    <row r="207" spans="2:14" x14ac:dyDescent="0.2">
      <c r="B207" s="281"/>
      <c r="C207" s="282">
        <v>1</v>
      </c>
      <c r="D207" s="283"/>
      <c r="E207" s="282">
        <v>2</v>
      </c>
      <c r="F207" s="282">
        <v>43.1</v>
      </c>
      <c r="G207" s="282">
        <f t="shared" si="14"/>
        <v>40</v>
      </c>
      <c r="H207" s="282">
        <f t="shared" si="15"/>
        <v>3619.521198059484</v>
      </c>
      <c r="I207" s="282">
        <f t="shared" si="16"/>
        <v>13000.113636363647</v>
      </c>
      <c r="J207" s="282">
        <f t="shared" si="17"/>
        <v>156001.36363636376</v>
      </c>
      <c r="K207" s="282"/>
      <c r="L207" s="240">
        <f t="shared" si="18"/>
        <v>8620</v>
      </c>
      <c r="M207" s="282"/>
      <c r="N207" s="240"/>
    </row>
    <row r="208" spans="2:14" x14ac:dyDescent="0.2">
      <c r="B208" s="281"/>
      <c r="C208" s="282">
        <v>1</v>
      </c>
      <c r="D208" s="283"/>
      <c r="E208" s="282">
        <v>4</v>
      </c>
      <c r="F208" s="282">
        <v>78.7</v>
      </c>
      <c r="G208" s="282">
        <f t="shared" si="14"/>
        <v>49</v>
      </c>
      <c r="H208" s="282">
        <f t="shared" si="15"/>
        <v>3046.0956451426614</v>
      </c>
      <c r="I208" s="282">
        <f t="shared" si="16"/>
        <v>19977.310606060622</v>
      </c>
      <c r="J208" s="282">
        <f t="shared" si="17"/>
        <v>239727.72727272747</v>
      </c>
      <c r="K208" s="282"/>
      <c r="L208" s="240">
        <f t="shared" si="18"/>
        <v>15740</v>
      </c>
      <c r="M208" s="282"/>
      <c r="N208" s="240"/>
    </row>
    <row r="209" spans="2:14" x14ac:dyDescent="0.2">
      <c r="B209" s="281"/>
      <c r="C209" s="282">
        <v>1</v>
      </c>
      <c r="D209" s="283"/>
      <c r="E209" s="282">
        <v>1</v>
      </c>
      <c r="F209" s="282">
        <v>29.3</v>
      </c>
      <c r="G209" s="282">
        <f t="shared" si="14"/>
        <v>34</v>
      </c>
      <c r="H209" s="282">
        <f t="shared" si="15"/>
        <v>4055.677939807636</v>
      </c>
      <c r="I209" s="282">
        <f t="shared" si="16"/>
        <v>9902.6136363636451</v>
      </c>
      <c r="J209" s="282">
        <f t="shared" si="17"/>
        <v>118831.36363636373</v>
      </c>
      <c r="K209" s="282"/>
      <c r="L209" s="240">
        <f t="shared" si="18"/>
        <v>5860</v>
      </c>
      <c r="M209" s="282"/>
      <c r="N209" s="240"/>
    </row>
    <row r="210" spans="2:14" x14ac:dyDescent="0.2">
      <c r="B210" s="281"/>
      <c r="C210" s="282">
        <v>1</v>
      </c>
      <c r="D210" s="283"/>
      <c r="E210" s="282">
        <v>1</v>
      </c>
      <c r="F210" s="282">
        <v>29.3</v>
      </c>
      <c r="G210" s="282">
        <f t="shared" si="14"/>
        <v>34</v>
      </c>
      <c r="H210" s="282">
        <f t="shared" si="15"/>
        <v>4055.677939807636</v>
      </c>
      <c r="I210" s="282">
        <f t="shared" si="16"/>
        <v>9902.6136363636451</v>
      </c>
      <c r="J210" s="282">
        <f t="shared" si="17"/>
        <v>118831.36363636373</v>
      </c>
      <c r="K210" s="282"/>
      <c r="L210" s="240">
        <f t="shared" si="18"/>
        <v>5860</v>
      </c>
      <c r="M210" s="282"/>
      <c r="N210" s="240"/>
    </row>
    <row r="211" spans="2:14" x14ac:dyDescent="0.2">
      <c r="B211" s="281"/>
      <c r="C211" s="282">
        <v>1</v>
      </c>
      <c r="D211" s="283"/>
      <c r="E211" s="282">
        <v>1</v>
      </c>
      <c r="F211" s="282">
        <v>30.4</v>
      </c>
      <c r="G211" s="282">
        <f t="shared" si="14"/>
        <v>34</v>
      </c>
      <c r="H211" s="282">
        <f t="shared" si="15"/>
        <v>3976.8540669856502</v>
      </c>
      <c r="I211" s="282">
        <f t="shared" si="16"/>
        <v>10074.696969696981</v>
      </c>
      <c r="J211" s="282">
        <f t="shared" si="17"/>
        <v>120896.36363636376</v>
      </c>
      <c r="K211" s="282"/>
      <c r="L211" s="240">
        <f t="shared" si="18"/>
        <v>6080</v>
      </c>
      <c r="M211" s="282"/>
      <c r="N211" s="231"/>
    </row>
    <row r="212" spans="2:14" x14ac:dyDescent="0.2">
      <c r="B212" s="281"/>
      <c r="C212" s="282">
        <v>1</v>
      </c>
      <c r="D212" s="283"/>
      <c r="E212" s="282">
        <v>1</v>
      </c>
      <c r="F212" s="282">
        <v>30.4</v>
      </c>
      <c r="G212" s="282">
        <f t="shared" si="14"/>
        <v>34</v>
      </c>
      <c r="H212" s="282">
        <f t="shared" si="15"/>
        <v>3976.8540669856502</v>
      </c>
      <c r="I212" s="282">
        <f t="shared" si="16"/>
        <v>10074.696969696981</v>
      </c>
      <c r="J212" s="282">
        <f t="shared" si="17"/>
        <v>120896.36363636376</v>
      </c>
      <c r="K212" s="282"/>
      <c r="L212" s="240">
        <f t="shared" si="18"/>
        <v>6080</v>
      </c>
      <c r="M212" s="282"/>
      <c r="N212" s="231"/>
    </row>
    <row r="213" spans="2:14" x14ac:dyDescent="0.2">
      <c r="B213" s="281"/>
      <c r="C213" s="282">
        <v>1</v>
      </c>
      <c r="D213" s="283"/>
      <c r="E213" s="282">
        <v>2</v>
      </c>
      <c r="F213" s="282">
        <v>39.6</v>
      </c>
      <c r="G213" s="282">
        <f t="shared" si="14"/>
        <v>40</v>
      </c>
      <c r="H213" s="282">
        <f t="shared" si="15"/>
        <v>3773.5078053259899</v>
      </c>
      <c r="I213" s="282">
        <f t="shared" si="16"/>
        <v>12452.575757575767</v>
      </c>
      <c r="J213" s="282">
        <f t="shared" si="17"/>
        <v>149430.9090909092</v>
      </c>
      <c r="K213" s="282"/>
      <c r="L213" s="240">
        <f t="shared" si="18"/>
        <v>7920</v>
      </c>
      <c r="M213" s="282"/>
      <c r="N213" s="231"/>
    </row>
    <row r="214" spans="2:14" x14ac:dyDescent="0.2">
      <c r="B214" s="281"/>
      <c r="C214" s="282">
        <v>1</v>
      </c>
      <c r="D214" s="283"/>
      <c r="E214" s="282">
        <v>2</v>
      </c>
      <c r="F214" s="282">
        <v>40.9</v>
      </c>
      <c r="G214" s="282">
        <f t="shared" si="14"/>
        <v>40</v>
      </c>
      <c r="H214" s="282">
        <f t="shared" si="15"/>
        <v>3713.2362747277211</v>
      </c>
      <c r="I214" s="282">
        <f t="shared" si="16"/>
        <v>12655.946969696983</v>
      </c>
      <c r="J214" s="282">
        <f t="shared" si="17"/>
        <v>151871.36363636379</v>
      </c>
      <c r="K214" s="282"/>
      <c r="L214" s="240">
        <f t="shared" si="18"/>
        <v>8180</v>
      </c>
      <c r="M214" s="282"/>
      <c r="N214" s="231"/>
    </row>
    <row r="215" spans="2:14" x14ac:dyDescent="0.2">
      <c r="B215" s="281"/>
      <c r="C215" s="282">
        <v>1</v>
      </c>
      <c r="D215" s="283"/>
      <c r="E215" s="282">
        <v>2</v>
      </c>
      <c r="F215" s="282">
        <v>43.1</v>
      </c>
      <c r="G215" s="282">
        <f t="shared" si="14"/>
        <v>40</v>
      </c>
      <c r="H215" s="282">
        <f t="shared" si="15"/>
        <v>3619.521198059484</v>
      </c>
      <c r="I215" s="282">
        <f t="shared" si="16"/>
        <v>13000.113636363647</v>
      </c>
      <c r="J215" s="282">
        <f t="shared" si="17"/>
        <v>156001.36363636376</v>
      </c>
      <c r="K215" s="282"/>
      <c r="L215" s="240">
        <f t="shared" si="18"/>
        <v>8620</v>
      </c>
      <c r="M215" s="282"/>
      <c r="N215" s="231"/>
    </row>
    <row r="216" spans="2:14" x14ac:dyDescent="0.2">
      <c r="B216" s="281"/>
      <c r="C216" s="282">
        <v>1</v>
      </c>
      <c r="D216" s="283"/>
      <c r="E216" s="282">
        <v>4</v>
      </c>
      <c r="F216" s="282">
        <v>78.7</v>
      </c>
      <c r="G216" s="282">
        <f t="shared" si="14"/>
        <v>49</v>
      </c>
      <c r="H216" s="282">
        <f t="shared" si="15"/>
        <v>3046.0956451426614</v>
      </c>
      <c r="I216" s="282">
        <f t="shared" si="16"/>
        <v>19977.310606060622</v>
      </c>
      <c r="J216" s="282">
        <f t="shared" si="17"/>
        <v>239727.72727272747</v>
      </c>
      <c r="K216" s="282"/>
      <c r="L216" s="240">
        <f t="shared" si="18"/>
        <v>15740</v>
      </c>
      <c r="M216" s="282"/>
      <c r="N216" s="231"/>
    </row>
    <row r="217" spans="2:14" x14ac:dyDescent="0.2">
      <c r="B217" s="281"/>
      <c r="C217" s="282">
        <v>1</v>
      </c>
      <c r="D217" s="283"/>
      <c r="E217" s="282">
        <v>1</v>
      </c>
      <c r="F217" s="282">
        <v>29.3</v>
      </c>
      <c r="G217" s="282">
        <f t="shared" si="14"/>
        <v>34</v>
      </c>
      <c r="H217" s="282">
        <f t="shared" si="15"/>
        <v>4055.677939807636</v>
      </c>
      <c r="I217" s="282">
        <f t="shared" si="16"/>
        <v>9902.6136363636451</v>
      </c>
      <c r="J217" s="282">
        <f t="shared" si="17"/>
        <v>118831.36363636373</v>
      </c>
      <c r="K217" s="282"/>
      <c r="L217" s="240">
        <f t="shared" si="18"/>
        <v>5860</v>
      </c>
      <c r="M217" s="282"/>
      <c r="N217" s="231"/>
    </row>
    <row r="218" spans="2:14" x14ac:dyDescent="0.2">
      <c r="B218" s="281"/>
      <c r="C218" s="282">
        <v>1</v>
      </c>
      <c r="D218" s="283"/>
      <c r="E218" s="282">
        <v>1</v>
      </c>
      <c r="F218" s="282">
        <v>29.3</v>
      </c>
      <c r="G218" s="282">
        <f t="shared" si="14"/>
        <v>34</v>
      </c>
      <c r="H218" s="282">
        <f t="shared" si="15"/>
        <v>4055.677939807636</v>
      </c>
      <c r="I218" s="282">
        <f t="shared" si="16"/>
        <v>9902.6136363636451</v>
      </c>
      <c r="J218" s="282">
        <f t="shared" si="17"/>
        <v>118831.36363636373</v>
      </c>
      <c r="K218" s="282"/>
      <c r="L218" s="240">
        <f t="shared" si="18"/>
        <v>5860</v>
      </c>
      <c r="M218" s="282"/>
      <c r="N218" s="231"/>
    </row>
    <row r="219" spans="2:14" x14ac:dyDescent="0.2">
      <c r="B219" s="281"/>
      <c r="C219" s="282">
        <v>1</v>
      </c>
      <c r="D219" s="283"/>
      <c r="E219" s="282">
        <v>1</v>
      </c>
      <c r="F219" s="282">
        <v>30.4</v>
      </c>
      <c r="G219" s="282">
        <f t="shared" si="14"/>
        <v>34</v>
      </c>
      <c r="H219" s="282">
        <f t="shared" si="15"/>
        <v>3976.8540669856502</v>
      </c>
      <c r="I219" s="282">
        <f t="shared" si="16"/>
        <v>10074.696969696981</v>
      </c>
      <c r="J219" s="282">
        <f t="shared" si="17"/>
        <v>120896.36363636376</v>
      </c>
      <c r="K219" s="282"/>
      <c r="L219" s="240">
        <f t="shared" si="18"/>
        <v>6080</v>
      </c>
      <c r="M219" s="282"/>
      <c r="N219" s="231"/>
    </row>
    <row r="220" spans="2:14" x14ac:dyDescent="0.2">
      <c r="B220" s="281"/>
      <c r="C220" s="282">
        <v>1</v>
      </c>
      <c r="D220" s="283"/>
      <c r="E220" s="282">
        <v>1</v>
      </c>
      <c r="F220" s="282">
        <v>30.4</v>
      </c>
      <c r="G220" s="282">
        <f t="shared" si="14"/>
        <v>34</v>
      </c>
      <c r="H220" s="282">
        <f t="shared" si="15"/>
        <v>3976.8540669856502</v>
      </c>
      <c r="I220" s="282">
        <f t="shared" si="16"/>
        <v>10074.696969696981</v>
      </c>
      <c r="J220" s="282">
        <f t="shared" si="17"/>
        <v>120896.36363636376</v>
      </c>
      <c r="K220" s="282"/>
      <c r="L220" s="240">
        <f t="shared" si="18"/>
        <v>6080</v>
      </c>
      <c r="M220" s="282"/>
      <c r="N220" s="231"/>
    </row>
    <row r="221" spans="2:14" x14ac:dyDescent="0.2">
      <c r="B221" s="281"/>
      <c r="C221" s="282">
        <v>1</v>
      </c>
      <c r="D221" s="283"/>
      <c r="E221" s="282">
        <v>2</v>
      </c>
      <c r="F221" s="282">
        <v>39.6</v>
      </c>
      <c r="G221" s="282">
        <f t="shared" ref="G221:G284" si="20">IF(E221=1,34,IF(E221=2,40,IF(E221=3,44,IF(E221=4,49,IF(E221=5,52,IF(E221=6,55,IF(E221=1.5,27,IF(E221=2.5,34))))))))</f>
        <v>40</v>
      </c>
      <c r="H221" s="282">
        <f t="shared" ref="H221:H284" si="21">+$H$3*(F221+G221)/(1.57142857142857)/F221</f>
        <v>3773.5078053259899</v>
      </c>
      <c r="I221" s="282">
        <f t="shared" ref="I221:I284" si="22">+F221*H221/12</f>
        <v>12452.575757575767</v>
      </c>
      <c r="J221" s="282">
        <f t="shared" si="17"/>
        <v>149430.9090909092</v>
      </c>
      <c r="K221" s="282"/>
      <c r="L221" s="240">
        <f t="shared" si="18"/>
        <v>7920</v>
      </c>
      <c r="M221" s="282"/>
      <c r="N221" s="231"/>
    </row>
    <row r="222" spans="2:14" x14ac:dyDescent="0.2">
      <c r="B222" s="281"/>
      <c r="C222" s="282">
        <v>1</v>
      </c>
      <c r="D222" s="283"/>
      <c r="E222" s="282">
        <v>2</v>
      </c>
      <c r="F222" s="282">
        <v>40.9</v>
      </c>
      <c r="G222" s="282">
        <f t="shared" si="20"/>
        <v>40</v>
      </c>
      <c r="H222" s="282">
        <f t="shared" si="21"/>
        <v>3713.2362747277211</v>
      </c>
      <c r="I222" s="282">
        <f t="shared" si="22"/>
        <v>12655.946969696983</v>
      </c>
      <c r="J222" s="282">
        <f t="shared" ref="J222:J285" si="23">+I222*12</f>
        <v>151871.36363636379</v>
      </c>
      <c r="K222" s="282"/>
      <c r="L222" s="240">
        <f t="shared" ref="L222:L285" si="24">F222*$H$4</f>
        <v>8180</v>
      </c>
      <c r="M222" s="282"/>
      <c r="N222" s="231"/>
    </row>
    <row r="223" spans="2:14" x14ac:dyDescent="0.2">
      <c r="B223" s="281"/>
      <c r="C223" s="282">
        <v>1</v>
      </c>
      <c r="D223" s="283"/>
      <c r="E223" s="282">
        <v>2</v>
      </c>
      <c r="F223" s="282">
        <v>43.1</v>
      </c>
      <c r="G223" s="282">
        <f t="shared" si="20"/>
        <v>40</v>
      </c>
      <c r="H223" s="282">
        <f t="shared" si="21"/>
        <v>3619.521198059484</v>
      </c>
      <c r="I223" s="282">
        <f t="shared" si="22"/>
        <v>13000.113636363647</v>
      </c>
      <c r="J223" s="282">
        <f t="shared" si="23"/>
        <v>156001.36363636376</v>
      </c>
      <c r="K223" s="282"/>
      <c r="L223" s="240">
        <f t="shared" si="24"/>
        <v>8620</v>
      </c>
      <c r="M223" s="282"/>
      <c r="N223" s="231"/>
    </row>
    <row r="224" spans="2:14" x14ac:dyDescent="0.2">
      <c r="B224" s="281"/>
      <c r="C224" s="282">
        <v>1</v>
      </c>
      <c r="D224" s="283"/>
      <c r="E224" s="282">
        <v>4</v>
      </c>
      <c r="F224" s="282">
        <v>78.7</v>
      </c>
      <c r="G224" s="282">
        <f t="shared" si="20"/>
        <v>49</v>
      </c>
      <c r="H224" s="282">
        <f t="shared" si="21"/>
        <v>3046.0956451426614</v>
      </c>
      <c r="I224" s="282">
        <f t="shared" si="22"/>
        <v>19977.310606060622</v>
      </c>
      <c r="J224" s="282">
        <f t="shared" si="23"/>
        <v>239727.72727272747</v>
      </c>
      <c r="K224" s="282"/>
      <c r="L224" s="240">
        <f t="shared" si="24"/>
        <v>15740</v>
      </c>
      <c r="M224" s="282"/>
      <c r="N224" s="231"/>
    </row>
    <row r="225" spans="2:14" x14ac:dyDescent="0.2">
      <c r="B225" s="281"/>
      <c r="C225" s="282">
        <v>1</v>
      </c>
      <c r="D225" s="283"/>
      <c r="E225" s="282">
        <v>1</v>
      </c>
      <c r="F225" s="282">
        <v>29.3</v>
      </c>
      <c r="G225" s="282">
        <f t="shared" si="20"/>
        <v>34</v>
      </c>
      <c r="H225" s="282">
        <f t="shared" si="21"/>
        <v>4055.677939807636</v>
      </c>
      <c r="I225" s="282">
        <f t="shared" si="22"/>
        <v>9902.6136363636451</v>
      </c>
      <c r="J225" s="282">
        <f t="shared" si="23"/>
        <v>118831.36363636373</v>
      </c>
      <c r="K225" s="282"/>
      <c r="L225" s="240">
        <f t="shared" si="24"/>
        <v>5860</v>
      </c>
      <c r="M225" s="282"/>
      <c r="N225" s="231"/>
    </row>
    <row r="226" spans="2:14" x14ac:dyDescent="0.2">
      <c r="B226" s="281"/>
      <c r="C226" s="282">
        <v>1</v>
      </c>
      <c r="D226" s="283"/>
      <c r="E226" s="282">
        <v>1</v>
      </c>
      <c r="F226" s="282">
        <v>29.3</v>
      </c>
      <c r="G226" s="282">
        <f t="shared" si="20"/>
        <v>34</v>
      </c>
      <c r="H226" s="282">
        <f t="shared" si="21"/>
        <v>4055.677939807636</v>
      </c>
      <c r="I226" s="282">
        <f t="shared" si="22"/>
        <v>9902.6136363636451</v>
      </c>
      <c r="J226" s="282">
        <f t="shared" si="23"/>
        <v>118831.36363636373</v>
      </c>
      <c r="K226" s="282"/>
      <c r="L226" s="240">
        <f t="shared" si="24"/>
        <v>5860</v>
      </c>
      <c r="M226" s="282"/>
      <c r="N226" s="231"/>
    </row>
    <row r="227" spans="2:14" x14ac:dyDescent="0.2">
      <c r="B227" s="281"/>
      <c r="C227" s="282">
        <v>1</v>
      </c>
      <c r="D227" s="283"/>
      <c r="E227" s="282">
        <v>1</v>
      </c>
      <c r="F227" s="282">
        <v>30.4</v>
      </c>
      <c r="G227" s="282">
        <f t="shared" si="20"/>
        <v>34</v>
      </c>
      <c r="H227" s="282">
        <f t="shared" si="21"/>
        <v>3976.8540669856502</v>
      </c>
      <c r="I227" s="282">
        <f t="shared" si="22"/>
        <v>10074.696969696981</v>
      </c>
      <c r="J227" s="282">
        <f t="shared" si="23"/>
        <v>120896.36363636376</v>
      </c>
      <c r="K227" s="282"/>
      <c r="L227" s="240">
        <f t="shared" si="24"/>
        <v>6080</v>
      </c>
      <c r="M227" s="282"/>
      <c r="N227" s="231"/>
    </row>
    <row r="228" spans="2:14" x14ac:dyDescent="0.2">
      <c r="B228" s="281"/>
      <c r="C228" s="282">
        <v>1</v>
      </c>
      <c r="D228" s="283"/>
      <c r="E228" s="282">
        <v>1</v>
      </c>
      <c r="F228" s="282">
        <v>30.4</v>
      </c>
      <c r="G228" s="282">
        <f t="shared" si="20"/>
        <v>34</v>
      </c>
      <c r="H228" s="282">
        <f t="shared" si="21"/>
        <v>3976.8540669856502</v>
      </c>
      <c r="I228" s="282">
        <f t="shared" si="22"/>
        <v>10074.696969696981</v>
      </c>
      <c r="J228" s="282">
        <f t="shared" si="23"/>
        <v>120896.36363636376</v>
      </c>
      <c r="K228" s="282"/>
      <c r="L228" s="240">
        <f t="shared" si="24"/>
        <v>6080</v>
      </c>
      <c r="M228" s="282"/>
      <c r="N228" s="231"/>
    </row>
    <row r="229" spans="2:14" x14ac:dyDescent="0.2">
      <c r="B229" s="281"/>
      <c r="C229" s="282">
        <v>1</v>
      </c>
      <c r="D229" s="283"/>
      <c r="E229" s="282">
        <v>2</v>
      </c>
      <c r="F229" s="282">
        <v>39.6</v>
      </c>
      <c r="G229" s="282">
        <f t="shared" si="20"/>
        <v>40</v>
      </c>
      <c r="H229" s="282">
        <f t="shared" si="21"/>
        <v>3773.5078053259899</v>
      </c>
      <c r="I229" s="282">
        <f t="shared" si="22"/>
        <v>12452.575757575767</v>
      </c>
      <c r="J229" s="282">
        <f t="shared" si="23"/>
        <v>149430.9090909092</v>
      </c>
      <c r="K229" s="282"/>
      <c r="L229" s="240">
        <f t="shared" si="24"/>
        <v>7920</v>
      </c>
      <c r="M229" s="282"/>
      <c r="N229" s="231"/>
    </row>
    <row r="230" spans="2:14" x14ac:dyDescent="0.2">
      <c r="B230" s="281"/>
      <c r="C230" s="282">
        <v>1</v>
      </c>
      <c r="D230" s="283"/>
      <c r="E230" s="282">
        <v>2</v>
      </c>
      <c r="F230" s="282">
        <v>40.9</v>
      </c>
      <c r="G230" s="282">
        <f t="shared" si="20"/>
        <v>40</v>
      </c>
      <c r="H230" s="282">
        <f t="shared" si="21"/>
        <v>3713.2362747277211</v>
      </c>
      <c r="I230" s="282">
        <f t="shared" si="22"/>
        <v>12655.946969696983</v>
      </c>
      <c r="J230" s="282">
        <f t="shared" si="23"/>
        <v>151871.36363636379</v>
      </c>
      <c r="K230" s="282"/>
      <c r="L230" s="240">
        <f t="shared" si="24"/>
        <v>8180</v>
      </c>
      <c r="M230" s="282"/>
      <c r="N230" s="231"/>
    </row>
    <row r="231" spans="2:14" x14ac:dyDescent="0.2">
      <c r="B231" s="281"/>
      <c r="C231" s="282">
        <v>1</v>
      </c>
      <c r="D231" s="283"/>
      <c r="E231" s="282">
        <v>2</v>
      </c>
      <c r="F231" s="282">
        <v>43.1</v>
      </c>
      <c r="G231" s="282">
        <f t="shared" si="20"/>
        <v>40</v>
      </c>
      <c r="H231" s="282">
        <f t="shared" si="21"/>
        <v>3619.521198059484</v>
      </c>
      <c r="I231" s="282">
        <f t="shared" si="22"/>
        <v>13000.113636363647</v>
      </c>
      <c r="J231" s="282">
        <f t="shared" si="23"/>
        <v>156001.36363636376</v>
      </c>
      <c r="K231" s="282"/>
      <c r="L231" s="240">
        <f t="shared" si="24"/>
        <v>8620</v>
      </c>
      <c r="M231" s="282"/>
      <c r="N231" s="231"/>
    </row>
    <row r="232" spans="2:14" x14ac:dyDescent="0.2">
      <c r="B232" s="281"/>
      <c r="C232" s="282">
        <v>1</v>
      </c>
      <c r="D232" s="283"/>
      <c r="E232" s="282">
        <v>4</v>
      </c>
      <c r="F232" s="282">
        <v>78.7</v>
      </c>
      <c r="G232" s="282">
        <f t="shared" si="20"/>
        <v>49</v>
      </c>
      <c r="H232" s="282">
        <f t="shared" si="21"/>
        <v>3046.0956451426614</v>
      </c>
      <c r="I232" s="282">
        <f t="shared" si="22"/>
        <v>19977.310606060622</v>
      </c>
      <c r="J232" s="282">
        <f t="shared" si="23"/>
        <v>239727.72727272747</v>
      </c>
      <c r="K232" s="282"/>
      <c r="L232" s="240">
        <f t="shared" si="24"/>
        <v>15740</v>
      </c>
      <c r="M232" s="282"/>
      <c r="N232" s="231"/>
    </row>
    <row r="233" spans="2:14" x14ac:dyDescent="0.2">
      <c r="B233" s="281"/>
      <c r="C233" s="282">
        <v>1</v>
      </c>
      <c r="D233" s="283"/>
      <c r="E233" s="282">
        <v>2</v>
      </c>
      <c r="F233" s="282">
        <v>32.9</v>
      </c>
      <c r="G233" s="282">
        <f t="shared" si="20"/>
        <v>40</v>
      </c>
      <c r="H233" s="282">
        <f t="shared" si="21"/>
        <v>4159.6711798839506</v>
      </c>
      <c r="I233" s="282">
        <f t="shared" si="22"/>
        <v>11404.431818181831</v>
      </c>
      <c r="J233" s="282">
        <f t="shared" si="23"/>
        <v>136853.18181818197</v>
      </c>
      <c r="K233" s="282"/>
      <c r="L233" s="240">
        <f t="shared" si="24"/>
        <v>6580</v>
      </c>
      <c r="M233" s="282"/>
      <c r="N233" s="231"/>
    </row>
    <row r="234" spans="2:14" x14ac:dyDescent="0.2">
      <c r="B234" s="281"/>
      <c r="C234" s="282">
        <v>1</v>
      </c>
      <c r="D234" s="283"/>
      <c r="E234" s="282">
        <v>2</v>
      </c>
      <c r="F234" s="282">
        <v>41.3</v>
      </c>
      <c r="G234" s="282">
        <f t="shared" si="20"/>
        <v>40</v>
      </c>
      <c r="H234" s="282">
        <f t="shared" si="21"/>
        <v>3695.4545454545487</v>
      </c>
      <c r="I234" s="282">
        <f t="shared" si="22"/>
        <v>12718.522727272737</v>
      </c>
      <c r="J234" s="282">
        <f t="shared" si="23"/>
        <v>152622.27272727285</v>
      </c>
      <c r="K234" s="282"/>
      <c r="L234" s="240">
        <f t="shared" si="24"/>
        <v>8260</v>
      </c>
      <c r="M234" s="282"/>
      <c r="N234" s="231"/>
    </row>
    <row r="235" spans="2:14" x14ac:dyDescent="0.2">
      <c r="B235" s="281"/>
      <c r="C235" s="282">
        <v>1</v>
      </c>
      <c r="D235" s="283"/>
      <c r="E235" s="282">
        <v>2</v>
      </c>
      <c r="F235" s="282">
        <v>32.9</v>
      </c>
      <c r="G235" s="282">
        <f t="shared" si="20"/>
        <v>40</v>
      </c>
      <c r="H235" s="282">
        <f t="shared" si="21"/>
        <v>4159.6711798839506</v>
      </c>
      <c r="I235" s="282">
        <f t="shared" si="22"/>
        <v>11404.431818181831</v>
      </c>
      <c r="J235" s="282">
        <f t="shared" si="23"/>
        <v>136853.18181818197</v>
      </c>
      <c r="K235" s="282"/>
      <c r="L235" s="240">
        <f t="shared" si="24"/>
        <v>6580</v>
      </c>
      <c r="M235" s="282"/>
      <c r="N235" s="231"/>
    </row>
    <row r="236" spans="2:14" x14ac:dyDescent="0.2">
      <c r="B236" s="281"/>
      <c r="C236" s="282">
        <v>1</v>
      </c>
      <c r="D236" s="283"/>
      <c r="E236" s="282">
        <v>2</v>
      </c>
      <c r="F236" s="282">
        <v>44.3</v>
      </c>
      <c r="G236" s="282">
        <f t="shared" si="20"/>
        <v>40</v>
      </c>
      <c r="H236" s="282">
        <f t="shared" si="21"/>
        <v>3572.3271085573606</v>
      </c>
      <c r="I236" s="282">
        <f t="shared" si="22"/>
        <v>13187.840909090921</v>
      </c>
      <c r="J236" s="282">
        <f t="shared" si="23"/>
        <v>158254.09090909106</v>
      </c>
      <c r="K236" s="282"/>
      <c r="L236" s="240">
        <f t="shared" si="24"/>
        <v>8860</v>
      </c>
      <c r="M236" s="282"/>
      <c r="N236" s="231"/>
    </row>
    <row r="237" spans="2:14" x14ac:dyDescent="0.2">
      <c r="B237" s="281"/>
      <c r="C237" s="282">
        <v>1</v>
      </c>
      <c r="D237" s="283"/>
      <c r="E237" s="282">
        <v>3</v>
      </c>
      <c r="F237" s="282">
        <v>66.900000000000006</v>
      </c>
      <c r="G237" s="282">
        <f t="shared" si="20"/>
        <v>44</v>
      </c>
      <c r="H237" s="282">
        <f t="shared" si="21"/>
        <v>3111.9513520858836</v>
      </c>
      <c r="I237" s="282">
        <f t="shared" si="22"/>
        <v>17349.128787878803</v>
      </c>
      <c r="J237" s="282">
        <f t="shared" si="23"/>
        <v>208189.54545454565</v>
      </c>
      <c r="K237" s="282"/>
      <c r="L237" s="240">
        <f t="shared" si="24"/>
        <v>13380.000000000002</v>
      </c>
      <c r="M237" s="282"/>
      <c r="N237" s="231"/>
    </row>
    <row r="238" spans="2:14" x14ac:dyDescent="0.2">
      <c r="B238" s="281"/>
      <c r="C238" s="282">
        <v>1</v>
      </c>
      <c r="D238" s="283"/>
      <c r="E238" s="282">
        <v>2</v>
      </c>
      <c r="F238" s="282">
        <v>32.9</v>
      </c>
      <c r="G238" s="282">
        <f t="shared" si="20"/>
        <v>40</v>
      </c>
      <c r="H238" s="282">
        <f t="shared" si="21"/>
        <v>4159.6711798839506</v>
      </c>
      <c r="I238" s="282">
        <f t="shared" si="22"/>
        <v>11404.431818181831</v>
      </c>
      <c r="J238" s="282">
        <f t="shared" si="23"/>
        <v>136853.18181818197</v>
      </c>
      <c r="K238" s="282"/>
      <c r="L238" s="240">
        <f t="shared" si="24"/>
        <v>6580</v>
      </c>
      <c r="M238" s="282"/>
      <c r="N238" s="231"/>
    </row>
    <row r="239" spans="2:14" x14ac:dyDescent="0.2">
      <c r="B239" s="281"/>
      <c r="C239" s="282">
        <v>1</v>
      </c>
      <c r="D239" s="283"/>
      <c r="E239" s="282">
        <v>2</v>
      </c>
      <c r="F239" s="282">
        <v>44.3</v>
      </c>
      <c r="G239" s="282">
        <f t="shared" si="20"/>
        <v>40</v>
      </c>
      <c r="H239" s="282">
        <f t="shared" si="21"/>
        <v>3572.3271085573606</v>
      </c>
      <c r="I239" s="282">
        <f t="shared" si="22"/>
        <v>13187.840909090921</v>
      </c>
      <c r="J239" s="282">
        <f t="shared" si="23"/>
        <v>158254.09090909106</v>
      </c>
      <c r="K239" s="282"/>
      <c r="L239" s="240">
        <f t="shared" si="24"/>
        <v>8860</v>
      </c>
      <c r="M239" s="282"/>
      <c r="N239" s="231"/>
    </row>
    <row r="240" spans="2:14" x14ac:dyDescent="0.2">
      <c r="B240" s="281"/>
      <c r="C240" s="282">
        <v>1</v>
      </c>
      <c r="D240" s="283"/>
      <c r="E240" s="282">
        <v>3</v>
      </c>
      <c r="F240" s="282">
        <v>66.900000000000006</v>
      </c>
      <c r="G240" s="282">
        <f t="shared" si="20"/>
        <v>44</v>
      </c>
      <c r="H240" s="282">
        <f t="shared" si="21"/>
        <v>3111.9513520858836</v>
      </c>
      <c r="I240" s="282">
        <f t="shared" si="22"/>
        <v>17349.128787878803</v>
      </c>
      <c r="J240" s="282">
        <f t="shared" si="23"/>
        <v>208189.54545454565</v>
      </c>
      <c r="K240" s="282"/>
      <c r="L240" s="240">
        <f t="shared" si="24"/>
        <v>13380.000000000002</v>
      </c>
      <c r="M240" s="282"/>
      <c r="N240" s="231"/>
    </row>
    <row r="241" spans="2:14" x14ac:dyDescent="0.2">
      <c r="B241" s="281"/>
      <c r="C241" s="282">
        <v>1</v>
      </c>
      <c r="D241" s="283"/>
      <c r="E241" s="282">
        <v>2</v>
      </c>
      <c r="F241" s="282">
        <v>32.9</v>
      </c>
      <c r="G241" s="282">
        <f t="shared" si="20"/>
        <v>40</v>
      </c>
      <c r="H241" s="282">
        <f t="shared" si="21"/>
        <v>4159.6711798839506</v>
      </c>
      <c r="I241" s="282">
        <f t="shared" si="22"/>
        <v>11404.431818181831</v>
      </c>
      <c r="J241" s="282">
        <f t="shared" si="23"/>
        <v>136853.18181818197</v>
      </c>
      <c r="K241" s="282"/>
      <c r="L241" s="240">
        <f t="shared" si="24"/>
        <v>6580</v>
      </c>
      <c r="M241" s="282"/>
      <c r="N241" s="231"/>
    </row>
    <row r="242" spans="2:14" x14ac:dyDescent="0.2">
      <c r="B242" s="281"/>
      <c r="C242" s="282">
        <v>1</v>
      </c>
      <c r="D242" s="283"/>
      <c r="E242" s="282">
        <v>2</v>
      </c>
      <c r="F242" s="282">
        <v>44.3</v>
      </c>
      <c r="G242" s="282">
        <f t="shared" si="20"/>
        <v>40</v>
      </c>
      <c r="H242" s="282">
        <f t="shared" si="21"/>
        <v>3572.3271085573606</v>
      </c>
      <c r="I242" s="282">
        <f t="shared" si="22"/>
        <v>13187.840909090921</v>
      </c>
      <c r="J242" s="282">
        <f t="shared" si="23"/>
        <v>158254.09090909106</v>
      </c>
      <c r="K242" s="282"/>
      <c r="L242" s="240">
        <f t="shared" si="24"/>
        <v>8860</v>
      </c>
      <c r="M242" s="282"/>
      <c r="N242" s="231"/>
    </row>
    <row r="243" spans="2:14" x14ac:dyDescent="0.2">
      <c r="B243" s="281"/>
      <c r="C243" s="282">
        <v>1</v>
      </c>
      <c r="D243" s="283"/>
      <c r="E243" s="282">
        <v>3</v>
      </c>
      <c r="F243" s="282">
        <v>66.900000000000006</v>
      </c>
      <c r="G243" s="282">
        <f t="shared" si="20"/>
        <v>44</v>
      </c>
      <c r="H243" s="282">
        <f t="shared" si="21"/>
        <v>3111.9513520858836</v>
      </c>
      <c r="I243" s="282">
        <f t="shared" si="22"/>
        <v>17349.128787878803</v>
      </c>
      <c r="J243" s="282">
        <f t="shared" si="23"/>
        <v>208189.54545454565</v>
      </c>
      <c r="K243" s="282"/>
      <c r="L243" s="240">
        <f t="shared" si="24"/>
        <v>13380.000000000002</v>
      </c>
      <c r="M243" s="282"/>
      <c r="N243" s="231"/>
    </row>
    <row r="244" spans="2:14" x14ac:dyDescent="0.2">
      <c r="B244" s="281"/>
      <c r="C244" s="282">
        <v>1</v>
      </c>
      <c r="D244" s="283"/>
      <c r="E244" s="282">
        <v>2</v>
      </c>
      <c r="F244" s="282">
        <v>32.9</v>
      </c>
      <c r="G244" s="282">
        <f t="shared" si="20"/>
        <v>40</v>
      </c>
      <c r="H244" s="282">
        <f t="shared" si="21"/>
        <v>4159.6711798839506</v>
      </c>
      <c r="I244" s="282">
        <f t="shared" si="22"/>
        <v>11404.431818181831</v>
      </c>
      <c r="J244" s="282">
        <f t="shared" si="23"/>
        <v>136853.18181818197</v>
      </c>
      <c r="K244" s="282"/>
      <c r="L244" s="240">
        <f t="shared" si="24"/>
        <v>6580</v>
      </c>
      <c r="M244" s="282"/>
      <c r="N244" s="231"/>
    </row>
    <row r="245" spans="2:14" x14ac:dyDescent="0.2">
      <c r="B245" s="281"/>
      <c r="C245" s="282">
        <v>1</v>
      </c>
      <c r="D245" s="283"/>
      <c r="E245" s="282">
        <v>2</v>
      </c>
      <c r="F245" s="282">
        <v>44.3</v>
      </c>
      <c r="G245" s="282">
        <f t="shared" si="20"/>
        <v>40</v>
      </c>
      <c r="H245" s="282">
        <f t="shared" si="21"/>
        <v>3572.3271085573606</v>
      </c>
      <c r="I245" s="282">
        <f t="shared" si="22"/>
        <v>13187.840909090921</v>
      </c>
      <c r="J245" s="282">
        <f t="shared" si="23"/>
        <v>158254.09090909106</v>
      </c>
      <c r="K245" s="282"/>
      <c r="L245" s="240">
        <f t="shared" si="24"/>
        <v>8860</v>
      </c>
      <c r="M245" s="282"/>
      <c r="N245" s="231"/>
    </row>
    <row r="246" spans="2:14" x14ac:dyDescent="0.2">
      <c r="B246" s="281"/>
      <c r="C246" s="282">
        <v>1</v>
      </c>
      <c r="D246" s="283"/>
      <c r="E246" s="282">
        <v>3</v>
      </c>
      <c r="F246" s="282">
        <v>66.900000000000006</v>
      </c>
      <c r="G246" s="282">
        <f t="shared" si="20"/>
        <v>44</v>
      </c>
      <c r="H246" s="282">
        <f t="shared" si="21"/>
        <v>3111.9513520858836</v>
      </c>
      <c r="I246" s="282">
        <f t="shared" si="22"/>
        <v>17349.128787878803</v>
      </c>
      <c r="J246" s="282">
        <f t="shared" si="23"/>
        <v>208189.54545454565</v>
      </c>
      <c r="K246" s="282"/>
      <c r="L246" s="240">
        <f t="shared" si="24"/>
        <v>13380.000000000002</v>
      </c>
      <c r="M246" s="282"/>
      <c r="N246" s="231"/>
    </row>
    <row r="247" spans="2:14" x14ac:dyDescent="0.2">
      <c r="B247" s="281"/>
      <c r="C247" s="282">
        <v>1</v>
      </c>
      <c r="D247" s="283"/>
      <c r="E247" s="282">
        <v>2</v>
      </c>
      <c r="F247" s="282">
        <v>32.9</v>
      </c>
      <c r="G247" s="282">
        <f t="shared" si="20"/>
        <v>40</v>
      </c>
      <c r="H247" s="282">
        <f t="shared" si="21"/>
        <v>4159.6711798839506</v>
      </c>
      <c r="I247" s="282">
        <f t="shared" si="22"/>
        <v>11404.431818181831</v>
      </c>
      <c r="J247" s="282">
        <f t="shared" si="23"/>
        <v>136853.18181818197</v>
      </c>
      <c r="K247" s="282"/>
      <c r="L247" s="240">
        <f t="shared" si="24"/>
        <v>6580</v>
      </c>
      <c r="M247" s="282"/>
      <c r="N247" s="231"/>
    </row>
    <row r="248" spans="2:14" x14ac:dyDescent="0.2">
      <c r="B248" s="281"/>
      <c r="C248" s="282">
        <v>1</v>
      </c>
      <c r="D248" s="283"/>
      <c r="E248" s="282">
        <v>2</v>
      </c>
      <c r="F248" s="282">
        <v>44.3</v>
      </c>
      <c r="G248" s="282">
        <f t="shared" si="20"/>
        <v>40</v>
      </c>
      <c r="H248" s="282">
        <f t="shared" si="21"/>
        <v>3572.3271085573606</v>
      </c>
      <c r="I248" s="282">
        <f t="shared" si="22"/>
        <v>13187.840909090921</v>
      </c>
      <c r="J248" s="282">
        <f t="shared" si="23"/>
        <v>158254.09090909106</v>
      </c>
      <c r="K248" s="282"/>
      <c r="L248" s="240">
        <f t="shared" si="24"/>
        <v>8860</v>
      </c>
      <c r="M248" s="282"/>
      <c r="N248" s="231"/>
    </row>
    <row r="249" spans="2:14" x14ac:dyDescent="0.2">
      <c r="B249" s="281"/>
      <c r="C249" s="282">
        <v>1</v>
      </c>
      <c r="D249" s="283"/>
      <c r="E249" s="282">
        <v>3</v>
      </c>
      <c r="F249" s="282">
        <v>66.900000000000006</v>
      </c>
      <c r="G249" s="282">
        <f t="shared" si="20"/>
        <v>44</v>
      </c>
      <c r="H249" s="282">
        <f t="shared" si="21"/>
        <v>3111.9513520858836</v>
      </c>
      <c r="I249" s="282">
        <f t="shared" si="22"/>
        <v>17349.128787878803</v>
      </c>
      <c r="J249" s="282">
        <f t="shared" si="23"/>
        <v>208189.54545454565</v>
      </c>
      <c r="K249" s="282"/>
      <c r="L249" s="240">
        <f t="shared" si="24"/>
        <v>13380.000000000002</v>
      </c>
      <c r="M249" s="282"/>
      <c r="N249" s="231"/>
    </row>
    <row r="250" spans="2:14" x14ac:dyDescent="0.2">
      <c r="B250" s="281"/>
      <c r="C250" s="282">
        <v>1</v>
      </c>
      <c r="D250" s="283"/>
      <c r="E250" s="282">
        <v>2</v>
      </c>
      <c r="F250" s="282">
        <v>32.9</v>
      </c>
      <c r="G250" s="282">
        <f t="shared" si="20"/>
        <v>40</v>
      </c>
      <c r="H250" s="282">
        <f t="shared" si="21"/>
        <v>4159.6711798839506</v>
      </c>
      <c r="I250" s="282">
        <f t="shared" si="22"/>
        <v>11404.431818181831</v>
      </c>
      <c r="J250" s="282">
        <f t="shared" si="23"/>
        <v>136853.18181818197</v>
      </c>
      <c r="K250" s="282"/>
      <c r="L250" s="240">
        <f t="shared" si="24"/>
        <v>6580</v>
      </c>
      <c r="M250" s="282"/>
      <c r="N250" s="231"/>
    </row>
    <row r="251" spans="2:14" x14ac:dyDescent="0.2">
      <c r="B251" s="281"/>
      <c r="C251" s="282">
        <v>1</v>
      </c>
      <c r="D251" s="283"/>
      <c r="E251" s="282">
        <v>2</v>
      </c>
      <c r="F251" s="282">
        <v>44.3</v>
      </c>
      <c r="G251" s="282">
        <f t="shared" si="20"/>
        <v>40</v>
      </c>
      <c r="H251" s="282">
        <f t="shared" si="21"/>
        <v>3572.3271085573606</v>
      </c>
      <c r="I251" s="282">
        <f t="shared" si="22"/>
        <v>13187.840909090921</v>
      </c>
      <c r="J251" s="282">
        <f t="shared" si="23"/>
        <v>158254.09090909106</v>
      </c>
      <c r="K251" s="282"/>
      <c r="L251" s="240">
        <f t="shared" si="24"/>
        <v>8860</v>
      </c>
      <c r="M251" s="282"/>
      <c r="N251" s="231"/>
    </row>
    <row r="252" spans="2:14" x14ac:dyDescent="0.2">
      <c r="B252" s="281"/>
      <c r="C252" s="282">
        <v>1</v>
      </c>
      <c r="D252" s="283"/>
      <c r="E252" s="282">
        <v>3</v>
      </c>
      <c r="F252" s="282">
        <v>66.900000000000006</v>
      </c>
      <c r="G252" s="282">
        <f t="shared" si="20"/>
        <v>44</v>
      </c>
      <c r="H252" s="282">
        <f t="shared" si="21"/>
        <v>3111.9513520858836</v>
      </c>
      <c r="I252" s="282">
        <f t="shared" si="22"/>
        <v>17349.128787878803</v>
      </c>
      <c r="J252" s="282">
        <f t="shared" si="23"/>
        <v>208189.54545454565</v>
      </c>
      <c r="K252" s="282"/>
      <c r="L252" s="240">
        <f t="shared" si="24"/>
        <v>13380.000000000002</v>
      </c>
      <c r="M252" s="282"/>
      <c r="N252" s="231"/>
    </row>
    <row r="253" spans="2:14" x14ac:dyDescent="0.2">
      <c r="B253" s="281"/>
      <c r="C253" s="282">
        <v>1</v>
      </c>
      <c r="D253" s="283"/>
      <c r="E253" s="282">
        <v>2</v>
      </c>
      <c r="F253" s="282">
        <v>32.9</v>
      </c>
      <c r="G253" s="282">
        <f t="shared" si="20"/>
        <v>40</v>
      </c>
      <c r="H253" s="282">
        <f t="shared" si="21"/>
        <v>4159.6711798839506</v>
      </c>
      <c r="I253" s="282">
        <f t="shared" si="22"/>
        <v>11404.431818181831</v>
      </c>
      <c r="J253" s="282">
        <f t="shared" si="23"/>
        <v>136853.18181818197</v>
      </c>
      <c r="K253" s="282"/>
      <c r="L253" s="240">
        <f t="shared" si="24"/>
        <v>6580</v>
      </c>
      <c r="M253" s="282"/>
      <c r="N253" s="231"/>
    </row>
    <row r="254" spans="2:14" x14ac:dyDescent="0.2">
      <c r="B254" s="281"/>
      <c r="C254" s="282">
        <v>1</v>
      </c>
      <c r="D254" s="283"/>
      <c r="E254" s="282">
        <v>2</v>
      </c>
      <c r="F254" s="282">
        <v>44.3</v>
      </c>
      <c r="G254" s="282">
        <f t="shared" si="20"/>
        <v>40</v>
      </c>
      <c r="H254" s="282">
        <f t="shared" si="21"/>
        <v>3572.3271085573606</v>
      </c>
      <c r="I254" s="282">
        <f t="shared" si="22"/>
        <v>13187.840909090921</v>
      </c>
      <c r="J254" s="282">
        <f t="shared" si="23"/>
        <v>158254.09090909106</v>
      </c>
      <c r="K254" s="282"/>
      <c r="L254" s="240">
        <f t="shared" si="24"/>
        <v>8860</v>
      </c>
      <c r="M254" s="282"/>
      <c r="N254" s="231"/>
    </row>
    <row r="255" spans="2:14" x14ac:dyDescent="0.2">
      <c r="B255" s="281"/>
      <c r="C255" s="282">
        <v>1</v>
      </c>
      <c r="D255" s="283"/>
      <c r="E255" s="282">
        <v>3</v>
      </c>
      <c r="F255" s="282">
        <v>66.900000000000006</v>
      </c>
      <c r="G255" s="282">
        <f t="shared" si="20"/>
        <v>44</v>
      </c>
      <c r="H255" s="282">
        <f t="shared" si="21"/>
        <v>3111.9513520858836</v>
      </c>
      <c r="I255" s="282">
        <f t="shared" si="22"/>
        <v>17349.128787878803</v>
      </c>
      <c r="J255" s="282">
        <f t="shared" si="23"/>
        <v>208189.54545454565</v>
      </c>
      <c r="K255" s="282"/>
      <c r="L255" s="240">
        <f t="shared" si="24"/>
        <v>13380.000000000002</v>
      </c>
      <c r="M255" s="282"/>
      <c r="N255" s="231"/>
    </row>
    <row r="256" spans="2:14" x14ac:dyDescent="0.2">
      <c r="B256" s="281"/>
      <c r="C256" s="282">
        <v>1</v>
      </c>
      <c r="D256" s="283"/>
      <c r="E256" s="282">
        <v>2</v>
      </c>
      <c r="F256" s="282">
        <v>32.9</v>
      </c>
      <c r="G256" s="282">
        <f t="shared" si="20"/>
        <v>40</v>
      </c>
      <c r="H256" s="282">
        <f t="shared" si="21"/>
        <v>4159.6711798839506</v>
      </c>
      <c r="I256" s="282">
        <f t="shared" si="22"/>
        <v>11404.431818181831</v>
      </c>
      <c r="J256" s="282">
        <f t="shared" si="23"/>
        <v>136853.18181818197</v>
      </c>
      <c r="K256" s="282"/>
      <c r="L256" s="240">
        <f t="shared" si="24"/>
        <v>6580</v>
      </c>
      <c r="M256" s="282"/>
      <c r="N256" s="231"/>
    </row>
    <row r="257" spans="2:14" x14ac:dyDescent="0.2">
      <c r="B257" s="281"/>
      <c r="C257" s="282">
        <v>1</v>
      </c>
      <c r="D257" s="283"/>
      <c r="E257" s="282">
        <v>2</v>
      </c>
      <c r="F257" s="282">
        <v>44.3</v>
      </c>
      <c r="G257" s="282">
        <f t="shared" si="20"/>
        <v>40</v>
      </c>
      <c r="H257" s="282">
        <f t="shared" si="21"/>
        <v>3572.3271085573606</v>
      </c>
      <c r="I257" s="282">
        <f t="shared" si="22"/>
        <v>13187.840909090921</v>
      </c>
      <c r="J257" s="282">
        <f t="shared" si="23"/>
        <v>158254.09090909106</v>
      </c>
      <c r="K257" s="282"/>
      <c r="L257" s="240">
        <f t="shared" si="24"/>
        <v>8860</v>
      </c>
      <c r="M257" s="282"/>
      <c r="N257" s="231"/>
    </row>
    <row r="258" spans="2:14" x14ac:dyDescent="0.2">
      <c r="B258" s="281"/>
      <c r="C258" s="282">
        <v>1</v>
      </c>
      <c r="D258" s="283"/>
      <c r="E258" s="282">
        <v>3</v>
      </c>
      <c r="F258" s="282">
        <v>66.099999999999994</v>
      </c>
      <c r="G258" s="282">
        <f t="shared" si="20"/>
        <v>44</v>
      </c>
      <c r="H258" s="282">
        <f t="shared" si="21"/>
        <v>3126.8945124467091</v>
      </c>
      <c r="I258" s="282">
        <f t="shared" si="22"/>
        <v>17223.977272727287</v>
      </c>
      <c r="J258" s="282">
        <f t="shared" si="23"/>
        <v>206687.72727272744</v>
      </c>
      <c r="K258" s="282"/>
      <c r="L258" s="240">
        <f t="shared" si="24"/>
        <v>13219.999999999998</v>
      </c>
      <c r="M258" s="282"/>
      <c r="N258" s="231"/>
    </row>
    <row r="259" spans="2:14" x14ac:dyDescent="0.2">
      <c r="B259" s="281"/>
      <c r="C259" s="282">
        <v>1</v>
      </c>
      <c r="D259" s="283"/>
      <c r="E259" s="282">
        <v>1</v>
      </c>
      <c r="F259" s="282">
        <v>31.1</v>
      </c>
      <c r="G259" s="282">
        <f t="shared" si="20"/>
        <v>34</v>
      </c>
      <c r="H259" s="282">
        <f t="shared" si="21"/>
        <v>3929.5966091786054</v>
      </c>
      <c r="I259" s="282">
        <f t="shared" si="22"/>
        <v>10184.204545454553</v>
      </c>
      <c r="J259" s="282">
        <f t="shared" si="23"/>
        <v>122210.45454545465</v>
      </c>
      <c r="K259" s="282"/>
      <c r="L259" s="240">
        <f t="shared" si="24"/>
        <v>6220</v>
      </c>
      <c r="M259" s="282"/>
      <c r="N259" s="231"/>
    </row>
    <row r="260" spans="2:14" x14ac:dyDescent="0.2">
      <c r="B260" s="281"/>
      <c r="C260" s="282">
        <v>1</v>
      </c>
      <c r="D260" s="283"/>
      <c r="E260" s="282">
        <v>2</v>
      </c>
      <c r="F260" s="282">
        <v>33.9</v>
      </c>
      <c r="G260" s="282">
        <f t="shared" si="20"/>
        <v>40</v>
      </c>
      <c r="H260" s="282">
        <f t="shared" si="21"/>
        <v>4092.3437919013181</v>
      </c>
      <c r="I260" s="282">
        <f t="shared" si="22"/>
        <v>11560.871212121223</v>
      </c>
      <c r="J260" s="282">
        <f t="shared" si="23"/>
        <v>138730.45454545468</v>
      </c>
      <c r="K260" s="282"/>
      <c r="L260" s="240">
        <f t="shared" si="24"/>
        <v>6780</v>
      </c>
      <c r="M260" s="282"/>
      <c r="N260" s="231"/>
    </row>
    <row r="261" spans="2:14" x14ac:dyDescent="0.2">
      <c r="B261" s="281"/>
      <c r="C261" s="282">
        <v>1</v>
      </c>
      <c r="D261" s="283"/>
      <c r="E261" s="282">
        <v>2</v>
      </c>
      <c r="F261" s="282">
        <v>33.9</v>
      </c>
      <c r="G261" s="282">
        <f t="shared" si="20"/>
        <v>40</v>
      </c>
      <c r="H261" s="282">
        <f t="shared" si="21"/>
        <v>4092.3437919013181</v>
      </c>
      <c r="I261" s="282">
        <f t="shared" si="22"/>
        <v>11560.871212121223</v>
      </c>
      <c r="J261" s="282">
        <f t="shared" si="23"/>
        <v>138730.45454545468</v>
      </c>
      <c r="K261" s="282"/>
      <c r="L261" s="240">
        <f t="shared" si="24"/>
        <v>6780</v>
      </c>
      <c r="M261" s="282"/>
      <c r="N261" s="231"/>
    </row>
    <row r="262" spans="2:14" x14ac:dyDescent="0.2">
      <c r="B262" s="281"/>
      <c r="C262" s="282">
        <v>1</v>
      </c>
      <c r="D262" s="283"/>
      <c r="E262" s="282">
        <v>2</v>
      </c>
      <c r="F262" s="282">
        <v>33.9</v>
      </c>
      <c r="G262" s="282">
        <f t="shared" si="20"/>
        <v>40</v>
      </c>
      <c r="H262" s="282">
        <f t="shared" si="21"/>
        <v>4092.3437919013181</v>
      </c>
      <c r="I262" s="282">
        <f t="shared" si="22"/>
        <v>11560.871212121223</v>
      </c>
      <c r="J262" s="282">
        <f t="shared" si="23"/>
        <v>138730.45454545468</v>
      </c>
      <c r="K262" s="282"/>
      <c r="L262" s="240">
        <f t="shared" si="24"/>
        <v>6780</v>
      </c>
      <c r="M262" s="282"/>
      <c r="N262" s="231"/>
    </row>
    <row r="263" spans="2:14" x14ac:dyDescent="0.2">
      <c r="B263" s="281"/>
      <c r="C263" s="282">
        <v>1</v>
      </c>
      <c r="D263" s="283"/>
      <c r="E263" s="282">
        <v>2</v>
      </c>
      <c r="F263" s="282">
        <v>33.9</v>
      </c>
      <c r="G263" s="282">
        <f t="shared" si="20"/>
        <v>40</v>
      </c>
      <c r="H263" s="282">
        <f t="shared" si="21"/>
        <v>4092.3437919013181</v>
      </c>
      <c r="I263" s="282">
        <f t="shared" si="22"/>
        <v>11560.871212121223</v>
      </c>
      <c r="J263" s="282">
        <f t="shared" si="23"/>
        <v>138730.45454545468</v>
      </c>
      <c r="K263" s="282"/>
      <c r="L263" s="240">
        <f t="shared" si="24"/>
        <v>6780</v>
      </c>
      <c r="M263" s="282"/>
      <c r="N263" s="231"/>
    </row>
    <row r="264" spans="2:14" x14ac:dyDescent="0.2">
      <c r="B264" s="281"/>
      <c r="C264" s="282">
        <v>1</v>
      </c>
      <c r="D264" s="283"/>
      <c r="E264" s="282">
        <v>2</v>
      </c>
      <c r="F264" s="282">
        <v>45</v>
      </c>
      <c r="G264" s="282">
        <f t="shared" si="20"/>
        <v>40</v>
      </c>
      <c r="H264" s="282">
        <f t="shared" si="21"/>
        <v>3545.9595959595995</v>
      </c>
      <c r="I264" s="282">
        <f t="shared" si="22"/>
        <v>13297.348484848497</v>
      </c>
      <c r="J264" s="282">
        <f t="shared" si="23"/>
        <v>159568.18181818197</v>
      </c>
      <c r="K264" s="282"/>
      <c r="L264" s="240">
        <f t="shared" si="24"/>
        <v>9000</v>
      </c>
      <c r="M264" s="282"/>
      <c r="N264" s="231"/>
    </row>
    <row r="265" spans="2:14" x14ac:dyDescent="0.2">
      <c r="B265" s="281"/>
      <c r="C265" s="282">
        <v>1</v>
      </c>
      <c r="D265" s="283"/>
      <c r="E265" s="282">
        <v>3</v>
      </c>
      <c r="F265" s="282">
        <v>65</v>
      </c>
      <c r="G265" s="282">
        <f t="shared" si="20"/>
        <v>44</v>
      </c>
      <c r="H265" s="282">
        <f t="shared" si="21"/>
        <v>3148.0419580419607</v>
      </c>
      <c r="I265" s="282">
        <f t="shared" si="22"/>
        <v>17051.893939393954</v>
      </c>
      <c r="J265" s="282">
        <f t="shared" si="23"/>
        <v>204622.72727272747</v>
      </c>
      <c r="K265" s="282"/>
      <c r="L265" s="240">
        <f t="shared" si="24"/>
        <v>13000</v>
      </c>
      <c r="M265" s="282"/>
      <c r="N265" s="231"/>
    </row>
    <row r="266" spans="2:14" x14ac:dyDescent="0.2">
      <c r="B266" s="281"/>
      <c r="C266" s="282">
        <v>1</v>
      </c>
      <c r="D266" s="283"/>
      <c r="E266" s="282">
        <v>4</v>
      </c>
      <c r="F266" s="282">
        <v>80.099999999999994</v>
      </c>
      <c r="G266" s="282">
        <f t="shared" si="20"/>
        <v>49</v>
      </c>
      <c r="H266" s="282">
        <f t="shared" si="21"/>
        <v>3025.6667801611648</v>
      </c>
      <c r="I266" s="282">
        <f t="shared" si="22"/>
        <v>20196.325757575774</v>
      </c>
      <c r="J266" s="282">
        <f t="shared" si="23"/>
        <v>242355.90909090929</v>
      </c>
      <c r="K266" s="282"/>
      <c r="L266" s="240">
        <f t="shared" si="24"/>
        <v>16019.999999999998</v>
      </c>
      <c r="M266" s="282"/>
      <c r="N266" s="231"/>
    </row>
    <row r="267" spans="2:14" x14ac:dyDescent="0.2">
      <c r="B267" s="281"/>
      <c r="C267" s="282">
        <v>1</v>
      </c>
      <c r="D267" s="283"/>
      <c r="E267" s="282">
        <v>4</v>
      </c>
      <c r="F267" s="282">
        <v>87.7</v>
      </c>
      <c r="G267" s="282">
        <f t="shared" si="20"/>
        <v>49</v>
      </c>
      <c r="H267" s="282">
        <f t="shared" si="21"/>
        <v>2926.1480252928391</v>
      </c>
      <c r="I267" s="282">
        <f t="shared" si="22"/>
        <v>21385.265151515167</v>
      </c>
      <c r="J267" s="282">
        <f t="shared" si="23"/>
        <v>256623.181818182</v>
      </c>
      <c r="K267" s="282"/>
      <c r="L267" s="240">
        <f t="shared" si="24"/>
        <v>17540</v>
      </c>
      <c r="M267" s="282"/>
      <c r="N267" s="231"/>
    </row>
    <row r="268" spans="2:14" x14ac:dyDescent="0.2">
      <c r="B268" s="281"/>
      <c r="C268" s="282">
        <v>1</v>
      </c>
      <c r="D268" s="283"/>
      <c r="E268" s="282">
        <v>1</v>
      </c>
      <c r="F268" s="282">
        <v>31.1</v>
      </c>
      <c r="G268" s="282">
        <f t="shared" si="20"/>
        <v>34</v>
      </c>
      <c r="H268" s="282">
        <f t="shared" si="21"/>
        <v>3929.5966091786054</v>
      </c>
      <c r="I268" s="282">
        <f t="shared" si="22"/>
        <v>10184.204545454553</v>
      </c>
      <c r="J268" s="282">
        <f t="shared" si="23"/>
        <v>122210.45454545465</v>
      </c>
      <c r="K268" s="282"/>
      <c r="L268" s="240">
        <f t="shared" si="24"/>
        <v>6220</v>
      </c>
      <c r="M268" s="282"/>
      <c r="N268" s="231"/>
    </row>
    <row r="269" spans="2:14" x14ac:dyDescent="0.2">
      <c r="B269" s="281"/>
      <c r="C269" s="282">
        <v>1</v>
      </c>
      <c r="D269" s="283"/>
      <c r="E269" s="282">
        <v>2</v>
      </c>
      <c r="F269" s="282">
        <v>33.9</v>
      </c>
      <c r="G269" s="282">
        <f t="shared" si="20"/>
        <v>40</v>
      </c>
      <c r="H269" s="282">
        <f t="shared" si="21"/>
        <v>4092.3437919013181</v>
      </c>
      <c r="I269" s="282">
        <f t="shared" si="22"/>
        <v>11560.871212121223</v>
      </c>
      <c r="J269" s="282">
        <f t="shared" si="23"/>
        <v>138730.45454545468</v>
      </c>
      <c r="K269" s="282"/>
      <c r="L269" s="240">
        <f t="shared" si="24"/>
        <v>6780</v>
      </c>
      <c r="M269" s="282"/>
      <c r="N269" s="231"/>
    </row>
    <row r="270" spans="2:14" x14ac:dyDescent="0.2">
      <c r="B270" s="281"/>
      <c r="C270" s="282">
        <v>1</v>
      </c>
      <c r="D270" s="283"/>
      <c r="E270" s="282">
        <v>2</v>
      </c>
      <c r="F270" s="282">
        <v>33.9</v>
      </c>
      <c r="G270" s="282">
        <f t="shared" si="20"/>
        <v>40</v>
      </c>
      <c r="H270" s="282">
        <f t="shared" si="21"/>
        <v>4092.3437919013181</v>
      </c>
      <c r="I270" s="282">
        <f t="shared" si="22"/>
        <v>11560.871212121223</v>
      </c>
      <c r="J270" s="282">
        <f t="shared" si="23"/>
        <v>138730.45454545468</v>
      </c>
      <c r="K270" s="282"/>
      <c r="L270" s="240">
        <f t="shared" si="24"/>
        <v>6780</v>
      </c>
      <c r="M270" s="282"/>
      <c r="N270" s="231"/>
    </row>
    <row r="271" spans="2:14" x14ac:dyDescent="0.2">
      <c r="B271" s="281"/>
      <c r="C271" s="282">
        <v>1</v>
      </c>
      <c r="D271" s="283"/>
      <c r="E271" s="282">
        <v>2</v>
      </c>
      <c r="F271" s="282">
        <v>33.9</v>
      </c>
      <c r="G271" s="282">
        <f t="shared" si="20"/>
        <v>40</v>
      </c>
      <c r="H271" s="282">
        <f t="shared" si="21"/>
        <v>4092.3437919013181</v>
      </c>
      <c r="I271" s="282">
        <f t="shared" si="22"/>
        <v>11560.871212121223</v>
      </c>
      <c r="J271" s="282">
        <f t="shared" si="23"/>
        <v>138730.45454545468</v>
      </c>
      <c r="K271" s="282"/>
      <c r="L271" s="240">
        <f t="shared" si="24"/>
        <v>6780</v>
      </c>
      <c r="M271" s="282"/>
      <c r="N271" s="231"/>
    </row>
    <row r="272" spans="2:14" x14ac:dyDescent="0.2">
      <c r="B272" s="281"/>
      <c r="C272" s="282">
        <v>1</v>
      </c>
      <c r="D272" s="283"/>
      <c r="E272" s="282">
        <v>2</v>
      </c>
      <c r="F272" s="282">
        <v>33.9</v>
      </c>
      <c r="G272" s="282">
        <f t="shared" si="20"/>
        <v>40</v>
      </c>
      <c r="H272" s="282">
        <f t="shared" si="21"/>
        <v>4092.3437919013181</v>
      </c>
      <c r="I272" s="282">
        <f t="shared" si="22"/>
        <v>11560.871212121223</v>
      </c>
      <c r="J272" s="282">
        <f t="shared" si="23"/>
        <v>138730.45454545468</v>
      </c>
      <c r="K272" s="282"/>
      <c r="L272" s="240">
        <f t="shared" si="24"/>
        <v>6780</v>
      </c>
      <c r="M272" s="282"/>
      <c r="N272" s="231"/>
    </row>
    <row r="273" spans="2:14" x14ac:dyDescent="0.2">
      <c r="B273" s="281"/>
      <c r="C273" s="282">
        <v>1</v>
      </c>
      <c r="D273" s="283"/>
      <c r="E273" s="282">
        <v>2</v>
      </c>
      <c r="F273" s="282">
        <v>45</v>
      </c>
      <c r="G273" s="282">
        <f t="shared" si="20"/>
        <v>40</v>
      </c>
      <c r="H273" s="282">
        <f t="shared" si="21"/>
        <v>3545.9595959595995</v>
      </c>
      <c r="I273" s="282">
        <f t="shared" si="22"/>
        <v>13297.348484848497</v>
      </c>
      <c r="J273" s="282">
        <f t="shared" si="23"/>
        <v>159568.18181818197</v>
      </c>
      <c r="K273" s="282"/>
      <c r="L273" s="240">
        <f t="shared" si="24"/>
        <v>9000</v>
      </c>
      <c r="M273" s="282"/>
      <c r="N273" s="231"/>
    </row>
    <row r="274" spans="2:14" x14ac:dyDescent="0.2">
      <c r="B274" s="281"/>
      <c r="C274" s="282">
        <v>1</v>
      </c>
      <c r="D274" s="283"/>
      <c r="E274" s="282">
        <v>4</v>
      </c>
      <c r="F274" s="282">
        <v>80.099999999999994</v>
      </c>
      <c r="G274" s="282">
        <f t="shared" si="20"/>
        <v>49</v>
      </c>
      <c r="H274" s="282">
        <f t="shared" si="21"/>
        <v>3025.6667801611648</v>
      </c>
      <c r="I274" s="282">
        <f t="shared" si="22"/>
        <v>20196.325757575774</v>
      </c>
      <c r="J274" s="282">
        <f t="shared" si="23"/>
        <v>242355.90909090929</v>
      </c>
      <c r="K274" s="282"/>
      <c r="L274" s="240">
        <f t="shared" si="24"/>
        <v>16019.999999999998</v>
      </c>
      <c r="M274" s="282"/>
      <c r="N274" s="231"/>
    </row>
    <row r="275" spans="2:14" x14ac:dyDescent="0.2">
      <c r="B275" s="281"/>
      <c r="C275" s="282">
        <v>1</v>
      </c>
      <c r="D275" s="283"/>
      <c r="E275" s="282">
        <v>4</v>
      </c>
      <c r="F275" s="282">
        <v>87.7</v>
      </c>
      <c r="G275" s="282">
        <f t="shared" si="20"/>
        <v>49</v>
      </c>
      <c r="H275" s="282">
        <f t="shared" si="21"/>
        <v>2926.1480252928391</v>
      </c>
      <c r="I275" s="282">
        <f t="shared" si="22"/>
        <v>21385.265151515167</v>
      </c>
      <c r="J275" s="282">
        <f t="shared" si="23"/>
        <v>256623.181818182</v>
      </c>
      <c r="K275" s="282"/>
      <c r="L275" s="240">
        <f t="shared" si="24"/>
        <v>17540</v>
      </c>
      <c r="M275" s="282"/>
      <c r="N275" s="231"/>
    </row>
    <row r="276" spans="2:14" x14ac:dyDescent="0.2">
      <c r="B276" s="281"/>
      <c r="C276" s="282">
        <v>1</v>
      </c>
      <c r="D276" s="283"/>
      <c r="E276" s="282">
        <v>4</v>
      </c>
      <c r="F276" s="282">
        <v>89.2</v>
      </c>
      <c r="G276" s="282">
        <f t="shared" si="20"/>
        <v>49</v>
      </c>
      <c r="H276" s="282">
        <f t="shared" si="21"/>
        <v>2908.5099877700795</v>
      </c>
      <c r="I276" s="282">
        <f t="shared" si="22"/>
        <v>21619.924242424258</v>
      </c>
      <c r="J276" s="282">
        <f t="shared" si="23"/>
        <v>259439.09090909112</v>
      </c>
      <c r="K276" s="282"/>
      <c r="L276" s="240">
        <f t="shared" si="24"/>
        <v>17840</v>
      </c>
      <c r="M276" s="282"/>
      <c r="N276" s="231"/>
    </row>
    <row r="277" spans="2:14" x14ac:dyDescent="0.2">
      <c r="B277" s="281"/>
      <c r="C277" s="282">
        <v>1</v>
      </c>
      <c r="D277" s="283"/>
      <c r="E277" s="282">
        <v>1</v>
      </c>
      <c r="F277" s="282">
        <v>31.1</v>
      </c>
      <c r="G277" s="282">
        <f t="shared" si="20"/>
        <v>34</v>
      </c>
      <c r="H277" s="282">
        <f t="shared" si="21"/>
        <v>3929.5966091786054</v>
      </c>
      <c r="I277" s="282">
        <f t="shared" si="22"/>
        <v>10184.204545454553</v>
      </c>
      <c r="J277" s="282">
        <f t="shared" si="23"/>
        <v>122210.45454545465</v>
      </c>
      <c r="K277" s="282"/>
      <c r="L277" s="240">
        <f t="shared" si="24"/>
        <v>6220</v>
      </c>
      <c r="M277" s="282"/>
      <c r="N277" s="231"/>
    </row>
    <row r="278" spans="2:14" x14ac:dyDescent="0.2">
      <c r="B278" s="281"/>
      <c r="C278" s="282">
        <v>1</v>
      </c>
      <c r="D278" s="283"/>
      <c r="E278" s="282">
        <v>2</v>
      </c>
      <c r="F278" s="282">
        <v>33.9</v>
      </c>
      <c r="G278" s="282">
        <f t="shared" si="20"/>
        <v>40</v>
      </c>
      <c r="H278" s="282">
        <f t="shared" si="21"/>
        <v>4092.3437919013181</v>
      </c>
      <c r="I278" s="282">
        <f t="shared" si="22"/>
        <v>11560.871212121223</v>
      </c>
      <c r="J278" s="282">
        <f t="shared" si="23"/>
        <v>138730.45454545468</v>
      </c>
      <c r="K278" s="282"/>
      <c r="L278" s="240">
        <f t="shared" si="24"/>
        <v>6780</v>
      </c>
      <c r="M278" s="282"/>
      <c r="N278" s="231"/>
    </row>
    <row r="279" spans="2:14" x14ac:dyDescent="0.2">
      <c r="B279" s="281"/>
      <c r="C279" s="282">
        <v>1</v>
      </c>
      <c r="D279" s="283"/>
      <c r="E279" s="282">
        <v>2</v>
      </c>
      <c r="F279" s="282">
        <v>33.9</v>
      </c>
      <c r="G279" s="282">
        <f t="shared" si="20"/>
        <v>40</v>
      </c>
      <c r="H279" s="282">
        <f t="shared" si="21"/>
        <v>4092.3437919013181</v>
      </c>
      <c r="I279" s="282">
        <f t="shared" si="22"/>
        <v>11560.871212121223</v>
      </c>
      <c r="J279" s="282">
        <f t="shared" si="23"/>
        <v>138730.45454545468</v>
      </c>
      <c r="K279" s="282"/>
      <c r="L279" s="240">
        <f t="shared" si="24"/>
        <v>6780</v>
      </c>
      <c r="M279" s="282"/>
      <c r="N279" s="231"/>
    </row>
    <row r="280" spans="2:14" x14ac:dyDescent="0.2">
      <c r="B280" s="281"/>
      <c r="C280" s="282">
        <v>1</v>
      </c>
      <c r="D280" s="283"/>
      <c r="E280" s="282">
        <v>2</v>
      </c>
      <c r="F280" s="282">
        <v>33.9</v>
      </c>
      <c r="G280" s="282">
        <f t="shared" si="20"/>
        <v>40</v>
      </c>
      <c r="H280" s="282">
        <f t="shared" si="21"/>
        <v>4092.3437919013181</v>
      </c>
      <c r="I280" s="282">
        <f t="shared" si="22"/>
        <v>11560.871212121223</v>
      </c>
      <c r="J280" s="282">
        <f t="shared" si="23"/>
        <v>138730.45454545468</v>
      </c>
      <c r="K280" s="282"/>
      <c r="L280" s="240">
        <f t="shared" si="24"/>
        <v>6780</v>
      </c>
      <c r="M280" s="282"/>
      <c r="N280" s="231"/>
    </row>
    <row r="281" spans="2:14" x14ac:dyDescent="0.2">
      <c r="B281" s="281"/>
      <c r="C281" s="282">
        <v>1</v>
      </c>
      <c r="D281" s="283"/>
      <c r="E281" s="282">
        <v>2</v>
      </c>
      <c r="F281" s="282">
        <v>33.9</v>
      </c>
      <c r="G281" s="282">
        <f t="shared" si="20"/>
        <v>40</v>
      </c>
      <c r="H281" s="282">
        <f t="shared" si="21"/>
        <v>4092.3437919013181</v>
      </c>
      <c r="I281" s="282">
        <f t="shared" si="22"/>
        <v>11560.871212121223</v>
      </c>
      <c r="J281" s="282">
        <f t="shared" si="23"/>
        <v>138730.45454545468</v>
      </c>
      <c r="K281" s="282"/>
      <c r="L281" s="240">
        <f t="shared" si="24"/>
        <v>6780</v>
      </c>
      <c r="M281" s="282"/>
      <c r="N281" s="231"/>
    </row>
    <row r="282" spans="2:14" x14ac:dyDescent="0.2">
      <c r="B282" s="281"/>
      <c r="C282" s="282">
        <v>1</v>
      </c>
      <c r="D282" s="283"/>
      <c r="E282" s="282">
        <v>2</v>
      </c>
      <c r="F282" s="282">
        <v>45</v>
      </c>
      <c r="G282" s="282">
        <f t="shared" si="20"/>
        <v>40</v>
      </c>
      <c r="H282" s="282">
        <f t="shared" si="21"/>
        <v>3545.9595959595995</v>
      </c>
      <c r="I282" s="282">
        <f t="shared" si="22"/>
        <v>13297.348484848497</v>
      </c>
      <c r="J282" s="282">
        <f t="shared" si="23"/>
        <v>159568.18181818197</v>
      </c>
      <c r="K282" s="282"/>
      <c r="L282" s="240">
        <f t="shared" si="24"/>
        <v>9000</v>
      </c>
      <c r="M282" s="282"/>
      <c r="N282" s="231"/>
    </row>
    <row r="283" spans="2:14" x14ac:dyDescent="0.2">
      <c r="B283" s="281"/>
      <c r="C283" s="282">
        <v>1</v>
      </c>
      <c r="D283" s="283"/>
      <c r="E283" s="282">
        <v>4</v>
      </c>
      <c r="F283" s="282">
        <v>80.099999999999994</v>
      </c>
      <c r="G283" s="282">
        <f t="shared" si="20"/>
        <v>49</v>
      </c>
      <c r="H283" s="282">
        <f t="shared" si="21"/>
        <v>3025.6667801611648</v>
      </c>
      <c r="I283" s="282">
        <f t="shared" si="22"/>
        <v>20196.325757575774</v>
      </c>
      <c r="J283" s="282">
        <f t="shared" si="23"/>
        <v>242355.90909090929</v>
      </c>
      <c r="K283" s="282"/>
      <c r="L283" s="240">
        <f t="shared" si="24"/>
        <v>16019.999999999998</v>
      </c>
      <c r="M283" s="282"/>
      <c r="N283" s="231"/>
    </row>
    <row r="284" spans="2:14" x14ac:dyDescent="0.2">
      <c r="B284" s="281"/>
      <c r="C284" s="282">
        <v>1</v>
      </c>
      <c r="D284" s="283"/>
      <c r="E284" s="282">
        <v>4</v>
      </c>
      <c r="F284" s="282">
        <v>87.7</v>
      </c>
      <c r="G284" s="282">
        <f t="shared" si="20"/>
        <v>49</v>
      </c>
      <c r="H284" s="282">
        <f t="shared" si="21"/>
        <v>2926.1480252928391</v>
      </c>
      <c r="I284" s="282">
        <f t="shared" si="22"/>
        <v>21385.265151515167</v>
      </c>
      <c r="J284" s="282">
        <f t="shared" si="23"/>
        <v>256623.181818182</v>
      </c>
      <c r="K284" s="282"/>
      <c r="L284" s="240">
        <f t="shared" si="24"/>
        <v>17540</v>
      </c>
      <c r="M284" s="282"/>
      <c r="N284" s="231"/>
    </row>
    <row r="285" spans="2:14" x14ac:dyDescent="0.2">
      <c r="B285" s="281"/>
      <c r="C285" s="282">
        <v>1</v>
      </c>
      <c r="D285" s="283"/>
      <c r="E285" s="282">
        <v>4</v>
      </c>
      <c r="F285" s="282">
        <v>89.2</v>
      </c>
      <c r="G285" s="282">
        <f t="shared" ref="G285:G348" si="25">IF(E285=1,34,IF(E285=2,40,IF(E285=3,44,IF(E285=4,49,IF(E285=5,52,IF(E285=6,55,IF(E285=1.5,27,IF(E285=2.5,34))))))))</f>
        <v>49</v>
      </c>
      <c r="H285" s="282">
        <f t="shared" ref="H285:H348" si="26">+$H$3*(F285+G285)/(1.57142857142857)/F285</f>
        <v>2908.5099877700795</v>
      </c>
      <c r="I285" s="282">
        <f t="shared" ref="I285:I348" si="27">+F285*H285/12</f>
        <v>21619.924242424258</v>
      </c>
      <c r="J285" s="282">
        <f t="shared" si="23"/>
        <v>259439.09090909112</v>
      </c>
      <c r="K285" s="282"/>
      <c r="L285" s="240">
        <f t="shared" si="24"/>
        <v>17840</v>
      </c>
      <c r="M285" s="282"/>
      <c r="N285" s="231"/>
    </row>
    <row r="286" spans="2:14" x14ac:dyDescent="0.2">
      <c r="B286" s="281"/>
      <c r="C286" s="282">
        <v>1</v>
      </c>
      <c r="D286" s="283"/>
      <c r="E286" s="282">
        <v>1</v>
      </c>
      <c r="F286" s="282">
        <v>31.1</v>
      </c>
      <c r="G286" s="282">
        <f t="shared" si="25"/>
        <v>34</v>
      </c>
      <c r="H286" s="282">
        <f t="shared" si="26"/>
        <v>3929.5966091786054</v>
      </c>
      <c r="I286" s="282">
        <f t="shared" si="27"/>
        <v>10184.204545454553</v>
      </c>
      <c r="J286" s="282">
        <f t="shared" ref="J286:J349" si="28">+I286*12</f>
        <v>122210.45454545465</v>
      </c>
      <c r="K286" s="282"/>
      <c r="L286" s="240">
        <f t="shared" ref="L286:L349" si="29">F286*$H$4</f>
        <v>6220</v>
      </c>
      <c r="M286" s="282"/>
      <c r="N286" s="231"/>
    </row>
    <row r="287" spans="2:14" x14ac:dyDescent="0.2">
      <c r="B287" s="281"/>
      <c r="C287" s="282">
        <v>1</v>
      </c>
      <c r="D287" s="283"/>
      <c r="E287" s="282">
        <v>2</v>
      </c>
      <c r="F287" s="282">
        <v>33.9</v>
      </c>
      <c r="G287" s="282">
        <f t="shared" si="25"/>
        <v>40</v>
      </c>
      <c r="H287" s="282">
        <f t="shared" si="26"/>
        <v>4092.3437919013181</v>
      </c>
      <c r="I287" s="282">
        <f t="shared" si="27"/>
        <v>11560.871212121223</v>
      </c>
      <c r="J287" s="282">
        <f t="shared" si="28"/>
        <v>138730.45454545468</v>
      </c>
      <c r="K287" s="282"/>
      <c r="L287" s="240">
        <f t="shared" si="29"/>
        <v>6780</v>
      </c>
      <c r="M287" s="282"/>
      <c r="N287" s="231"/>
    </row>
    <row r="288" spans="2:14" x14ac:dyDescent="0.2">
      <c r="B288" s="281"/>
      <c r="C288" s="282">
        <v>1</v>
      </c>
      <c r="D288" s="283"/>
      <c r="E288" s="282">
        <v>2</v>
      </c>
      <c r="F288" s="282">
        <v>33.9</v>
      </c>
      <c r="G288" s="282">
        <f t="shared" si="25"/>
        <v>40</v>
      </c>
      <c r="H288" s="282">
        <f t="shared" si="26"/>
        <v>4092.3437919013181</v>
      </c>
      <c r="I288" s="282">
        <f t="shared" si="27"/>
        <v>11560.871212121223</v>
      </c>
      <c r="J288" s="282">
        <f t="shared" si="28"/>
        <v>138730.45454545468</v>
      </c>
      <c r="K288" s="282"/>
      <c r="L288" s="240">
        <f t="shared" si="29"/>
        <v>6780</v>
      </c>
      <c r="M288" s="282"/>
      <c r="N288" s="231"/>
    </row>
    <row r="289" spans="2:14" x14ac:dyDescent="0.2">
      <c r="B289" s="281"/>
      <c r="C289" s="282">
        <v>1</v>
      </c>
      <c r="D289" s="283"/>
      <c r="E289" s="282">
        <v>2</v>
      </c>
      <c r="F289" s="282">
        <v>33.9</v>
      </c>
      <c r="G289" s="282">
        <f t="shared" si="25"/>
        <v>40</v>
      </c>
      <c r="H289" s="282">
        <f t="shared" si="26"/>
        <v>4092.3437919013181</v>
      </c>
      <c r="I289" s="282">
        <f t="shared" si="27"/>
        <v>11560.871212121223</v>
      </c>
      <c r="J289" s="282">
        <f t="shared" si="28"/>
        <v>138730.45454545468</v>
      </c>
      <c r="K289" s="282"/>
      <c r="L289" s="240">
        <f t="shared" si="29"/>
        <v>6780</v>
      </c>
      <c r="M289" s="282"/>
      <c r="N289" s="231"/>
    </row>
    <row r="290" spans="2:14" x14ac:dyDescent="0.2">
      <c r="B290" s="281"/>
      <c r="C290" s="282">
        <v>1</v>
      </c>
      <c r="D290" s="283"/>
      <c r="E290" s="282">
        <v>2</v>
      </c>
      <c r="F290" s="282">
        <v>33.9</v>
      </c>
      <c r="G290" s="282">
        <f t="shared" si="25"/>
        <v>40</v>
      </c>
      <c r="H290" s="282">
        <f t="shared" si="26"/>
        <v>4092.3437919013181</v>
      </c>
      <c r="I290" s="282">
        <f t="shared" si="27"/>
        <v>11560.871212121223</v>
      </c>
      <c r="J290" s="282">
        <f t="shared" si="28"/>
        <v>138730.45454545468</v>
      </c>
      <c r="K290" s="282"/>
      <c r="L290" s="240">
        <f t="shared" si="29"/>
        <v>6780</v>
      </c>
      <c r="M290" s="282"/>
      <c r="N290" s="231"/>
    </row>
    <row r="291" spans="2:14" x14ac:dyDescent="0.2">
      <c r="B291" s="281"/>
      <c r="C291" s="282">
        <v>1</v>
      </c>
      <c r="D291" s="283"/>
      <c r="E291" s="282">
        <v>2</v>
      </c>
      <c r="F291" s="282">
        <v>45</v>
      </c>
      <c r="G291" s="282">
        <f t="shared" si="25"/>
        <v>40</v>
      </c>
      <c r="H291" s="282">
        <f t="shared" si="26"/>
        <v>3545.9595959595995</v>
      </c>
      <c r="I291" s="282">
        <f t="shared" si="27"/>
        <v>13297.348484848497</v>
      </c>
      <c r="J291" s="282">
        <f t="shared" si="28"/>
        <v>159568.18181818197</v>
      </c>
      <c r="K291" s="282"/>
      <c r="L291" s="240">
        <f t="shared" si="29"/>
        <v>9000</v>
      </c>
      <c r="M291" s="282"/>
      <c r="N291" s="231"/>
    </row>
    <row r="292" spans="2:14" x14ac:dyDescent="0.2">
      <c r="B292" s="281"/>
      <c r="C292" s="282">
        <v>1</v>
      </c>
      <c r="D292" s="283"/>
      <c r="E292" s="282">
        <v>4</v>
      </c>
      <c r="F292" s="282">
        <v>80.099999999999994</v>
      </c>
      <c r="G292" s="282">
        <f t="shared" si="25"/>
        <v>49</v>
      </c>
      <c r="H292" s="282">
        <f t="shared" si="26"/>
        <v>3025.6667801611648</v>
      </c>
      <c r="I292" s="282">
        <f t="shared" si="27"/>
        <v>20196.325757575774</v>
      </c>
      <c r="J292" s="282">
        <f t="shared" si="28"/>
        <v>242355.90909090929</v>
      </c>
      <c r="K292" s="282"/>
      <c r="L292" s="240">
        <f t="shared" si="29"/>
        <v>16019.999999999998</v>
      </c>
      <c r="M292" s="282"/>
      <c r="N292" s="231"/>
    </row>
    <row r="293" spans="2:14" x14ac:dyDescent="0.2">
      <c r="B293" s="281"/>
      <c r="C293" s="282">
        <v>1</v>
      </c>
      <c r="D293" s="283"/>
      <c r="E293" s="282">
        <v>4</v>
      </c>
      <c r="F293" s="282">
        <v>87.7</v>
      </c>
      <c r="G293" s="282">
        <f t="shared" si="25"/>
        <v>49</v>
      </c>
      <c r="H293" s="282">
        <f t="shared" si="26"/>
        <v>2926.1480252928391</v>
      </c>
      <c r="I293" s="282">
        <f t="shared" si="27"/>
        <v>21385.265151515167</v>
      </c>
      <c r="J293" s="282">
        <f t="shared" si="28"/>
        <v>256623.181818182</v>
      </c>
      <c r="K293" s="282"/>
      <c r="L293" s="240">
        <f t="shared" si="29"/>
        <v>17540</v>
      </c>
      <c r="M293" s="282"/>
      <c r="N293" s="231"/>
    </row>
    <row r="294" spans="2:14" x14ac:dyDescent="0.2">
      <c r="B294" s="281"/>
      <c r="C294" s="282">
        <v>1</v>
      </c>
      <c r="D294" s="283"/>
      <c r="E294" s="282">
        <v>4</v>
      </c>
      <c r="F294" s="282">
        <v>89.2</v>
      </c>
      <c r="G294" s="282">
        <f t="shared" si="25"/>
        <v>49</v>
      </c>
      <c r="H294" s="282">
        <f t="shared" si="26"/>
        <v>2908.5099877700795</v>
      </c>
      <c r="I294" s="282">
        <f t="shared" si="27"/>
        <v>21619.924242424258</v>
      </c>
      <c r="J294" s="282">
        <f t="shared" si="28"/>
        <v>259439.09090909112</v>
      </c>
      <c r="K294" s="282"/>
      <c r="L294" s="240">
        <f t="shared" si="29"/>
        <v>17840</v>
      </c>
      <c r="M294" s="282"/>
      <c r="N294" s="231"/>
    </row>
    <row r="295" spans="2:14" x14ac:dyDescent="0.2">
      <c r="B295" s="281"/>
      <c r="C295" s="282">
        <v>1</v>
      </c>
      <c r="D295" s="283"/>
      <c r="E295" s="282">
        <v>1</v>
      </c>
      <c r="F295" s="282">
        <v>31.1</v>
      </c>
      <c r="G295" s="282">
        <f t="shared" si="25"/>
        <v>34</v>
      </c>
      <c r="H295" s="282">
        <f t="shared" si="26"/>
        <v>3929.5966091786054</v>
      </c>
      <c r="I295" s="282">
        <f t="shared" si="27"/>
        <v>10184.204545454553</v>
      </c>
      <c r="J295" s="282">
        <f t="shared" si="28"/>
        <v>122210.45454545465</v>
      </c>
      <c r="K295" s="282"/>
      <c r="L295" s="240">
        <f t="shared" si="29"/>
        <v>6220</v>
      </c>
      <c r="M295" s="282"/>
      <c r="N295" s="231"/>
    </row>
    <row r="296" spans="2:14" x14ac:dyDescent="0.2">
      <c r="B296" s="281"/>
      <c r="C296" s="282">
        <v>1</v>
      </c>
      <c r="D296" s="283"/>
      <c r="E296" s="282">
        <v>2</v>
      </c>
      <c r="F296" s="282">
        <v>33.9</v>
      </c>
      <c r="G296" s="282">
        <f t="shared" si="25"/>
        <v>40</v>
      </c>
      <c r="H296" s="282">
        <f t="shared" si="26"/>
        <v>4092.3437919013181</v>
      </c>
      <c r="I296" s="282">
        <f t="shared" si="27"/>
        <v>11560.871212121223</v>
      </c>
      <c r="J296" s="282">
        <f t="shared" si="28"/>
        <v>138730.45454545468</v>
      </c>
      <c r="K296" s="282"/>
      <c r="L296" s="240">
        <f t="shared" si="29"/>
        <v>6780</v>
      </c>
      <c r="M296" s="282"/>
      <c r="N296" s="231"/>
    </row>
    <row r="297" spans="2:14" x14ac:dyDescent="0.2">
      <c r="B297" s="281"/>
      <c r="C297" s="282">
        <v>1</v>
      </c>
      <c r="D297" s="283"/>
      <c r="E297" s="282">
        <v>2</v>
      </c>
      <c r="F297" s="282">
        <v>33.9</v>
      </c>
      <c r="G297" s="282">
        <f t="shared" si="25"/>
        <v>40</v>
      </c>
      <c r="H297" s="282">
        <f t="shared" si="26"/>
        <v>4092.3437919013181</v>
      </c>
      <c r="I297" s="282">
        <f t="shared" si="27"/>
        <v>11560.871212121223</v>
      </c>
      <c r="J297" s="282">
        <f t="shared" si="28"/>
        <v>138730.45454545468</v>
      </c>
      <c r="K297" s="282"/>
      <c r="L297" s="240">
        <f t="shared" si="29"/>
        <v>6780</v>
      </c>
      <c r="M297" s="282"/>
      <c r="N297" s="231"/>
    </row>
    <row r="298" spans="2:14" x14ac:dyDescent="0.2">
      <c r="B298" s="281"/>
      <c r="C298" s="282">
        <v>1</v>
      </c>
      <c r="D298" s="283"/>
      <c r="E298" s="282">
        <v>2</v>
      </c>
      <c r="F298" s="282">
        <v>33.9</v>
      </c>
      <c r="G298" s="282">
        <f t="shared" si="25"/>
        <v>40</v>
      </c>
      <c r="H298" s="282">
        <f t="shared" si="26"/>
        <v>4092.3437919013181</v>
      </c>
      <c r="I298" s="282">
        <f t="shared" si="27"/>
        <v>11560.871212121223</v>
      </c>
      <c r="J298" s="282">
        <f t="shared" si="28"/>
        <v>138730.45454545468</v>
      </c>
      <c r="K298" s="282"/>
      <c r="L298" s="240">
        <f t="shared" si="29"/>
        <v>6780</v>
      </c>
      <c r="M298" s="282"/>
      <c r="N298" s="231"/>
    </row>
    <row r="299" spans="2:14" x14ac:dyDescent="0.2">
      <c r="B299" s="281"/>
      <c r="C299" s="282">
        <v>1</v>
      </c>
      <c r="D299" s="283"/>
      <c r="E299" s="282">
        <v>2</v>
      </c>
      <c r="F299" s="282">
        <v>33.9</v>
      </c>
      <c r="G299" s="282">
        <f t="shared" si="25"/>
        <v>40</v>
      </c>
      <c r="H299" s="282">
        <f t="shared" si="26"/>
        <v>4092.3437919013181</v>
      </c>
      <c r="I299" s="282">
        <f t="shared" si="27"/>
        <v>11560.871212121223</v>
      </c>
      <c r="J299" s="282">
        <f t="shared" si="28"/>
        <v>138730.45454545468</v>
      </c>
      <c r="K299" s="282"/>
      <c r="L299" s="240">
        <f t="shared" si="29"/>
        <v>6780</v>
      </c>
      <c r="M299" s="282"/>
      <c r="N299" s="231"/>
    </row>
    <row r="300" spans="2:14" x14ac:dyDescent="0.2">
      <c r="B300" s="281"/>
      <c r="C300" s="282">
        <v>1</v>
      </c>
      <c r="D300" s="283"/>
      <c r="E300" s="282">
        <v>2</v>
      </c>
      <c r="F300" s="282">
        <v>45</v>
      </c>
      <c r="G300" s="282">
        <f t="shared" si="25"/>
        <v>40</v>
      </c>
      <c r="H300" s="282">
        <f t="shared" si="26"/>
        <v>3545.9595959595995</v>
      </c>
      <c r="I300" s="282">
        <f t="shared" si="27"/>
        <v>13297.348484848497</v>
      </c>
      <c r="J300" s="282">
        <f t="shared" si="28"/>
        <v>159568.18181818197</v>
      </c>
      <c r="K300" s="282"/>
      <c r="L300" s="240">
        <f t="shared" si="29"/>
        <v>9000</v>
      </c>
      <c r="M300" s="282"/>
      <c r="N300" s="231"/>
    </row>
    <row r="301" spans="2:14" x14ac:dyDescent="0.2">
      <c r="B301" s="281"/>
      <c r="C301" s="282">
        <v>1</v>
      </c>
      <c r="D301" s="283"/>
      <c r="E301" s="282">
        <v>4</v>
      </c>
      <c r="F301" s="282">
        <v>80.099999999999994</v>
      </c>
      <c r="G301" s="282">
        <f t="shared" si="25"/>
        <v>49</v>
      </c>
      <c r="H301" s="282">
        <f t="shared" si="26"/>
        <v>3025.6667801611648</v>
      </c>
      <c r="I301" s="282">
        <f t="shared" si="27"/>
        <v>20196.325757575774</v>
      </c>
      <c r="J301" s="282">
        <f t="shared" si="28"/>
        <v>242355.90909090929</v>
      </c>
      <c r="K301" s="282"/>
      <c r="L301" s="240">
        <f t="shared" si="29"/>
        <v>16019.999999999998</v>
      </c>
      <c r="M301" s="282"/>
      <c r="N301" s="231"/>
    </row>
    <row r="302" spans="2:14" x14ac:dyDescent="0.2">
      <c r="B302" s="281"/>
      <c r="C302" s="282">
        <v>1</v>
      </c>
      <c r="D302" s="283"/>
      <c r="E302" s="282">
        <v>4</v>
      </c>
      <c r="F302" s="282">
        <v>87.7</v>
      </c>
      <c r="G302" s="282">
        <f t="shared" si="25"/>
        <v>49</v>
      </c>
      <c r="H302" s="282">
        <f t="shared" si="26"/>
        <v>2926.1480252928391</v>
      </c>
      <c r="I302" s="282">
        <f t="shared" si="27"/>
        <v>21385.265151515167</v>
      </c>
      <c r="J302" s="282">
        <f t="shared" si="28"/>
        <v>256623.181818182</v>
      </c>
      <c r="K302" s="282"/>
      <c r="L302" s="240">
        <f t="shared" si="29"/>
        <v>17540</v>
      </c>
      <c r="M302" s="282"/>
      <c r="N302" s="231"/>
    </row>
    <row r="303" spans="2:14" x14ac:dyDescent="0.2">
      <c r="B303" s="281"/>
      <c r="C303" s="282">
        <v>1</v>
      </c>
      <c r="D303" s="283"/>
      <c r="E303" s="282">
        <v>4</v>
      </c>
      <c r="F303" s="282">
        <v>89.2</v>
      </c>
      <c r="G303" s="282">
        <f t="shared" si="25"/>
        <v>49</v>
      </c>
      <c r="H303" s="282">
        <f t="shared" si="26"/>
        <v>2908.5099877700795</v>
      </c>
      <c r="I303" s="282">
        <f t="shared" si="27"/>
        <v>21619.924242424258</v>
      </c>
      <c r="J303" s="282">
        <f t="shared" si="28"/>
        <v>259439.09090909112</v>
      </c>
      <c r="K303" s="282"/>
      <c r="L303" s="240">
        <f t="shared" si="29"/>
        <v>17840</v>
      </c>
      <c r="M303" s="282"/>
      <c r="N303" s="231"/>
    </row>
    <row r="304" spans="2:14" x14ac:dyDescent="0.2">
      <c r="B304" s="281"/>
      <c r="C304" s="282">
        <v>1</v>
      </c>
      <c r="D304" s="283"/>
      <c r="E304" s="282">
        <v>1</v>
      </c>
      <c r="F304" s="282">
        <v>31.1</v>
      </c>
      <c r="G304" s="282">
        <f t="shared" si="25"/>
        <v>34</v>
      </c>
      <c r="H304" s="282">
        <f t="shared" si="26"/>
        <v>3929.5966091786054</v>
      </c>
      <c r="I304" s="282">
        <f t="shared" si="27"/>
        <v>10184.204545454553</v>
      </c>
      <c r="J304" s="282">
        <f t="shared" si="28"/>
        <v>122210.45454545465</v>
      </c>
      <c r="K304" s="282"/>
      <c r="L304" s="240">
        <f t="shared" si="29"/>
        <v>6220</v>
      </c>
      <c r="M304" s="282"/>
      <c r="N304" s="231"/>
    </row>
    <row r="305" spans="2:14" x14ac:dyDescent="0.2">
      <c r="B305" s="281"/>
      <c r="C305" s="282">
        <v>1</v>
      </c>
      <c r="D305" s="283"/>
      <c r="E305" s="282">
        <v>2</v>
      </c>
      <c r="F305" s="282">
        <v>33.9</v>
      </c>
      <c r="G305" s="282">
        <f t="shared" si="25"/>
        <v>40</v>
      </c>
      <c r="H305" s="282">
        <f t="shared" si="26"/>
        <v>4092.3437919013181</v>
      </c>
      <c r="I305" s="282">
        <f t="shared" si="27"/>
        <v>11560.871212121223</v>
      </c>
      <c r="J305" s="282">
        <f t="shared" si="28"/>
        <v>138730.45454545468</v>
      </c>
      <c r="K305" s="282"/>
      <c r="L305" s="240">
        <f t="shared" si="29"/>
        <v>6780</v>
      </c>
      <c r="M305" s="282"/>
      <c r="N305" s="231"/>
    </row>
    <row r="306" spans="2:14" x14ac:dyDescent="0.2">
      <c r="B306" s="281"/>
      <c r="C306" s="282">
        <v>1</v>
      </c>
      <c r="D306" s="283"/>
      <c r="E306" s="282">
        <v>2</v>
      </c>
      <c r="F306" s="282">
        <v>33.9</v>
      </c>
      <c r="G306" s="282">
        <f t="shared" si="25"/>
        <v>40</v>
      </c>
      <c r="H306" s="282">
        <f t="shared" si="26"/>
        <v>4092.3437919013181</v>
      </c>
      <c r="I306" s="282">
        <f t="shared" si="27"/>
        <v>11560.871212121223</v>
      </c>
      <c r="J306" s="282">
        <f t="shared" si="28"/>
        <v>138730.45454545468</v>
      </c>
      <c r="K306" s="282"/>
      <c r="L306" s="240">
        <f t="shared" si="29"/>
        <v>6780</v>
      </c>
      <c r="M306" s="282"/>
      <c r="N306" s="231"/>
    </row>
    <row r="307" spans="2:14" x14ac:dyDescent="0.2">
      <c r="B307" s="281"/>
      <c r="C307" s="282">
        <v>1</v>
      </c>
      <c r="D307" s="283"/>
      <c r="E307" s="282">
        <v>2</v>
      </c>
      <c r="F307" s="282">
        <v>33.9</v>
      </c>
      <c r="G307" s="282">
        <f t="shared" si="25"/>
        <v>40</v>
      </c>
      <c r="H307" s="282">
        <f t="shared" si="26"/>
        <v>4092.3437919013181</v>
      </c>
      <c r="I307" s="282">
        <f t="shared" si="27"/>
        <v>11560.871212121223</v>
      </c>
      <c r="J307" s="282">
        <f t="shared" si="28"/>
        <v>138730.45454545468</v>
      </c>
      <c r="K307" s="282"/>
      <c r="L307" s="240">
        <f t="shared" si="29"/>
        <v>6780</v>
      </c>
      <c r="M307" s="282"/>
      <c r="N307" s="231"/>
    </row>
    <row r="308" spans="2:14" x14ac:dyDescent="0.2">
      <c r="B308" s="281"/>
      <c r="C308" s="282">
        <v>1</v>
      </c>
      <c r="D308" s="283"/>
      <c r="E308" s="282">
        <v>2</v>
      </c>
      <c r="F308" s="282">
        <v>33.9</v>
      </c>
      <c r="G308" s="282">
        <f t="shared" si="25"/>
        <v>40</v>
      </c>
      <c r="H308" s="282">
        <f t="shared" si="26"/>
        <v>4092.3437919013181</v>
      </c>
      <c r="I308" s="282">
        <f t="shared" si="27"/>
        <v>11560.871212121223</v>
      </c>
      <c r="J308" s="282">
        <f t="shared" si="28"/>
        <v>138730.45454545468</v>
      </c>
      <c r="K308" s="282"/>
      <c r="L308" s="240">
        <f t="shared" si="29"/>
        <v>6780</v>
      </c>
      <c r="M308" s="282"/>
      <c r="N308" s="231"/>
    </row>
    <row r="309" spans="2:14" x14ac:dyDescent="0.2">
      <c r="B309" s="281"/>
      <c r="C309" s="282">
        <v>1</v>
      </c>
      <c r="D309" s="283"/>
      <c r="E309" s="282">
        <v>2</v>
      </c>
      <c r="F309" s="282">
        <v>45</v>
      </c>
      <c r="G309" s="282">
        <f t="shared" si="25"/>
        <v>40</v>
      </c>
      <c r="H309" s="282">
        <f t="shared" si="26"/>
        <v>3545.9595959595995</v>
      </c>
      <c r="I309" s="282">
        <f t="shared" si="27"/>
        <v>13297.348484848497</v>
      </c>
      <c r="J309" s="282">
        <f t="shared" si="28"/>
        <v>159568.18181818197</v>
      </c>
      <c r="K309" s="282"/>
      <c r="L309" s="240">
        <f t="shared" si="29"/>
        <v>9000</v>
      </c>
      <c r="M309" s="282"/>
      <c r="N309" s="231"/>
    </row>
    <row r="310" spans="2:14" x14ac:dyDescent="0.2">
      <c r="B310" s="281"/>
      <c r="C310" s="282">
        <v>1</v>
      </c>
      <c r="D310" s="283"/>
      <c r="E310" s="282">
        <v>4</v>
      </c>
      <c r="F310" s="282">
        <v>80.099999999999994</v>
      </c>
      <c r="G310" s="282">
        <f t="shared" si="25"/>
        <v>49</v>
      </c>
      <c r="H310" s="282">
        <f t="shared" si="26"/>
        <v>3025.6667801611648</v>
      </c>
      <c r="I310" s="282">
        <f t="shared" si="27"/>
        <v>20196.325757575774</v>
      </c>
      <c r="J310" s="282">
        <f t="shared" si="28"/>
        <v>242355.90909090929</v>
      </c>
      <c r="K310" s="282"/>
      <c r="L310" s="240">
        <f t="shared" si="29"/>
        <v>16019.999999999998</v>
      </c>
      <c r="M310" s="282"/>
      <c r="N310" s="231"/>
    </row>
    <row r="311" spans="2:14" x14ac:dyDescent="0.2">
      <c r="B311" s="281"/>
      <c r="C311" s="282">
        <v>1</v>
      </c>
      <c r="D311" s="283"/>
      <c r="E311" s="282">
        <v>4</v>
      </c>
      <c r="F311" s="282">
        <v>87.7</v>
      </c>
      <c r="G311" s="282">
        <f t="shared" si="25"/>
        <v>49</v>
      </c>
      <c r="H311" s="282">
        <f t="shared" si="26"/>
        <v>2926.1480252928391</v>
      </c>
      <c r="I311" s="282">
        <f t="shared" si="27"/>
        <v>21385.265151515167</v>
      </c>
      <c r="J311" s="282">
        <f t="shared" si="28"/>
        <v>256623.181818182</v>
      </c>
      <c r="K311" s="282"/>
      <c r="L311" s="240">
        <f t="shared" si="29"/>
        <v>17540</v>
      </c>
      <c r="M311" s="282"/>
      <c r="N311" s="231"/>
    </row>
    <row r="312" spans="2:14" x14ac:dyDescent="0.2">
      <c r="B312" s="281"/>
      <c r="C312" s="282">
        <v>1</v>
      </c>
      <c r="D312" s="283"/>
      <c r="E312" s="282">
        <v>4</v>
      </c>
      <c r="F312" s="282">
        <v>89.2</v>
      </c>
      <c r="G312" s="282">
        <f t="shared" si="25"/>
        <v>49</v>
      </c>
      <c r="H312" s="282">
        <f t="shared" si="26"/>
        <v>2908.5099877700795</v>
      </c>
      <c r="I312" s="282">
        <f t="shared" si="27"/>
        <v>21619.924242424258</v>
      </c>
      <c r="J312" s="282">
        <f t="shared" si="28"/>
        <v>259439.09090909112</v>
      </c>
      <c r="K312" s="282"/>
      <c r="L312" s="240">
        <f t="shared" si="29"/>
        <v>17840</v>
      </c>
      <c r="M312" s="282"/>
      <c r="N312" s="231"/>
    </row>
    <row r="313" spans="2:14" x14ac:dyDescent="0.2">
      <c r="B313" s="281"/>
      <c r="C313" s="282">
        <v>1</v>
      </c>
      <c r="D313" s="283"/>
      <c r="E313" s="282">
        <v>1</v>
      </c>
      <c r="F313" s="282">
        <v>31.1</v>
      </c>
      <c r="G313" s="282">
        <f t="shared" si="25"/>
        <v>34</v>
      </c>
      <c r="H313" s="282">
        <f t="shared" si="26"/>
        <v>3929.5966091786054</v>
      </c>
      <c r="I313" s="282">
        <f t="shared" si="27"/>
        <v>10184.204545454553</v>
      </c>
      <c r="J313" s="282">
        <f t="shared" si="28"/>
        <v>122210.45454545465</v>
      </c>
      <c r="K313" s="282"/>
      <c r="L313" s="240">
        <f t="shared" si="29"/>
        <v>6220</v>
      </c>
      <c r="M313" s="282"/>
      <c r="N313" s="231"/>
    </row>
    <row r="314" spans="2:14" x14ac:dyDescent="0.2">
      <c r="B314" s="281"/>
      <c r="C314" s="282">
        <v>1</v>
      </c>
      <c r="D314" s="283"/>
      <c r="E314" s="282">
        <v>2</v>
      </c>
      <c r="F314" s="282">
        <v>33.9</v>
      </c>
      <c r="G314" s="282">
        <f t="shared" si="25"/>
        <v>40</v>
      </c>
      <c r="H314" s="282">
        <f t="shared" si="26"/>
        <v>4092.3437919013181</v>
      </c>
      <c r="I314" s="282">
        <f t="shared" si="27"/>
        <v>11560.871212121223</v>
      </c>
      <c r="J314" s="282">
        <f t="shared" si="28"/>
        <v>138730.45454545468</v>
      </c>
      <c r="K314" s="282"/>
      <c r="L314" s="240">
        <f t="shared" si="29"/>
        <v>6780</v>
      </c>
      <c r="M314" s="282"/>
      <c r="N314" s="231"/>
    </row>
    <row r="315" spans="2:14" x14ac:dyDescent="0.2">
      <c r="B315" s="281"/>
      <c r="C315" s="282">
        <v>1</v>
      </c>
      <c r="D315" s="283"/>
      <c r="E315" s="282">
        <v>2</v>
      </c>
      <c r="F315" s="282">
        <v>33.9</v>
      </c>
      <c r="G315" s="282">
        <f t="shared" si="25"/>
        <v>40</v>
      </c>
      <c r="H315" s="282">
        <f t="shared" si="26"/>
        <v>4092.3437919013181</v>
      </c>
      <c r="I315" s="282">
        <f t="shared" si="27"/>
        <v>11560.871212121223</v>
      </c>
      <c r="J315" s="282">
        <f t="shared" si="28"/>
        <v>138730.45454545468</v>
      </c>
      <c r="K315" s="282"/>
      <c r="L315" s="240">
        <f t="shared" si="29"/>
        <v>6780</v>
      </c>
      <c r="M315" s="282"/>
      <c r="N315" s="231"/>
    </row>
    <row r="316" spans="2:14" x14ac:dyDescent="0.2">
      <c r="B316" s="281"/>
      <c r="C316" s="282">
        <v>1</v>
      </c>
      <c r="D316" s="283"/>
      <c r="E316" s="282">
        <v>2</v>
      </c>
      <c r="F316" s="282">
        <v>33.9</v>
      </c>
      <c r="G316" s="282">
        <f t="shared" si="25"/>
        <v>40</v>
      </c>
      <c r="H316" s="282">
        <f t="shared" si="26"/>
        <v>4092.3437919013181</v>
      </c>
      <c r="I316" s="282">
        <f t="shared" si="27"/>
        <v>11560.871212121223</v>
      </c>
      <c r="J316" s="282">
        <f t="shared" si="28"/>
        <v>138730.45454545468</v>
      </c>
      <c r="K316" s="282"/>
      <c r="L316" s="240">
        <f t="shared" si="29"/>
        <v>6780</v>
      </c>
      <c r="M316" s="282"/>
      <c r="N316" s="231"/>
    </row>
    <row r="317" spans="2:14" x14ac:dyDescent="0.2">
      <c r="B317" s="281"/>
      <c r="C317" s="282">
        <v>1</v>
      </c>
      <c r="D317" s="283"/>
      <c r="E317" s="282">
        <v>2</v>
      </c>
      <c r="F317" s="282">
        <v>33.9</v>
      </c>
      <c r="G317" s="282">
        <f t="shared" si="25"/>
        <v>40</v>
      </c>
      <c r="H317" s="282">
        <f t="shared" si="26"/>
        <v>4092.3437919013181</v>
      </c>
      <c r="I317" s="282">
        <f t="shared" si="27"/>
        <v>11560.871212121223</v>
      </c>
      <c r="J317" s="282">
        <f t="shared" si="28"/>
        <v>138730.45454545468</v>
      </c>
      <c r="K317" s="282"/>
      <c r="L317" s="240">
        <f t="shared" si="29"/>
        <v>6780</v>
      </c>
      <c r="M317" s="282"/>
      <c r="N317" s="231"/>
    </row>
    <row r="318" spans="2:14" x14ac:dyDescent="0.2">
      <c r="B318" s="281"/>
      <c r="C318" s="282">
        <v>1</v>
      </c>
      <c r="D318" s="283"/>
      <c r="E318" s="282">
        <v>2</v>
      </c>
      <c r="F318" s="282">
        <v>45</v>
      </c>
      <c r="G318" s="282">
        <f t="shared" si="25"/>
        <v>40</v>
      </c>
      <c r="H318" s="282">
        <f t="shared" si="26"/>
        <v>3545.9595959595995</v>
      </c>
      <c r="I318" s="282">
        <f t="shared" si="27"/>
        <v>13297.348484848497</v>
      </c>
      <c r="J318" s="282">
        <f t="shared" si="28"/>
        <v>159568.18181818197</v>
      </c>
      <c r="K318" s="282"/>
      <c r="L318" s="240">
        <f t="shared" si="29"/>
        <v>9000</v>
      </c>
      <c r="M318" s="282"/>
      <c r="N318" s="231"/>
    </row>
    <row r="319" spans="2:14" x14ac:dyDescent="0.2">
      <c r="B319" s="281"/>
      <c r="C319" s="282">
        <v>1</v>
      </c>
      <c r="D319" s="283"/>
      <c r="E319" s="282">
        <v>4</v>
      </c>
      <c r="F319" s="282">
        <v>80.099999999999994</v>
      </c>
      <c r="G319" s="282">
        <f t="shared" si="25"/>
        <v>49</v>
      </c>
      <c r="H319" s="282">
        <f t="shared" si="26"/>
        <v>3025.6667801611648</v>
      </c>
      <c r="I319" s="282">
        <f t="shared" si="27"/>
        <v>20196.325757575774</v>
      </c>
      <c r="J319" s="282">
        <f t="shared" si="28"/>
        <v>242355.90909090929</v>
      </c>
      <c r="K319" s="282"/>
      <c r="L319" s="240">
        <f t="shared" si="29"/>
        <v>16019.999999999998</v>
      </c>
      <c r="M319" s="282"/>
      <c r="N319" s="231"/>
    </row>
    <row r="320" spans="2:14" x14ac:dyDescent="0.2">
      <c r="B320" s="281"/>
      <c r="C320" s="282">
        <v>1</v>
      </c>
      <c r="D320" s="283"/>
      <c r="E320" s="282">
        <v>4</v>
      </c>
      <c r="F320" s="282">
        <v>87.7</v>
      </c>
      <c r="G320" s="282">
        <f t="shared" si="25"/>
        <v>49</v>
      </c>
      <c r="H320" s="282">
        <f t="shared" si="26"/>
        <v>2926.1480252928391</v>
      </c>
      <c r="I320" s="282">
        <f t="shared" si="27"/>
        <v>21385.265151515167</v>
      </c>
      <c r="J320" s="282">
        <f t="shared" si="28"/>
        <v>256623.181818182</v>
      </c>
      <c r="K320" s="282"/>
      <c r="L320" s="240">
        <f t="shared" si="29"/>
        <v>17540</v>
      </c>
      <c r="M320" s="282"/>
      <c r="N320" s="231"/>
    </row>
    <row r="321" spans="2:14" x14ac:dyDescent="0.2">
      <c r="B321" s="281"/>
      <c r="C321" s="282">
        <v>1</v>
      </c>
      <c r="D321" s="283"/>
      <c r="E321" s="282">
        <v>4</v>
      </c>
      <c r="F321" s="282">
        <v>89.2</v>
      </c>
      <c r="G321" s="282">
        <f t="shared" si="25"/>
        <v>49</v>
      </c>
      <c r="H321" s="282">
        <f t="shared" si="26"/>
        <v>2908.5099877700795</v>
      </c>
      <c r="I321" s="282">
        <f t="shared" si="27"/>
        <v>21619.924242424258</v>
      </c>
      <c r="J321" s="282">
        <f t="shared" si="28"/>
        <v>259439.09090909112</v>
      </c>
      <c r="K321" s="282"/>
      <c r="L321" s="240">
        <f t="shared" si="29"/>
        <v>17840</v>
      </c>
      <c r="M321" s="282"/>
      <c r="N321" s="231"/>
    </row>
    <row r="322" spans="2:14" x14ac:dyDescent="0.2">
      <c r="B322" s="281"/>
      <c r="C322" s="282">
        <v>1</v>
      </c>
      <c r="D322" s="283"/>
      <c r="E322" s="282">
        <v>2</v>
      </c>
      <c r="F322" s="282">
        <v>33.9</v>
      </c>
      <c r="G322" s="282">
        <f t="shared" si="25"/>
        <v>40</v>
      </c>
      <c r="H322" s="282">
        <f t="shared" si="26"/>
        <v>4092.3437919013181</v>
      </c>
      <c r="I322" s="282">
        <f t="shared" si="27"/>
        <v>11560.871212121223</v>
      </c>
      <c r="J322" s="282">
        <f t="shared" si="28"/>
        <v>138730.45454545468</v>
      </c>
      <c r="K322" s="282"/>
      <c r="L322" s="240">
        <f t="shared" si="29"/>
        <v>6780</v>
      </c>
      <c r="M322" s="282"/>
      <c r="N322" s="231"/>
    </row>
    <row r="323" spans="2:14" x14ac:dyDescent="0.2">
      <c r="B323" s="281"/>
      <c r="C323" s="282">
        <v>1</v>
      </c>
      <c r="D323" s="283"/>
      <c r="E323" s="282">
        <v>2</v>
      </c>
      <c r="F323" s="282">
        <v>33.9</v>
      </c>
      <c r="G323" s="282">
        <f t="shared" si="25"/>
        <v>40</v>
      </c>
      <c r="H323" s="282">
        <f t="shared" si="26"/>
        <v>4092.3437919013181</v>
      </c>
      <c r="I323" s="282">
        <f t="shared" si="27"/>
        <v>11560.871212121223</v>
      </c>
      <c r="J323" s="282">
        <f t="shared" si="28"/>
        <v>138730.45454545468</v>
      </c>
      <c r="K323" s="282"/>
      <c r="L323" s="240">
        <f t="shared" si="29"/>
        <v>6780</v>
      </c>
      <c r="M323" s="282"/>
      <c r="N323" s="231"/>
    </row>
    <row r="324" spans="2:14" x14ac:dyDescent="0.2">
      <c r="B324" s="281"/>
      <c r="C324" s="282">
        <v>1</v>
      </c>
      <c r="D324" s="283"/>
      <c r="E324" s="282">
        <v>2</v>
      </c>
      <c r="F324" s="282">
        <v>45</v>
      </c>
      <c r="G324" s="282">
        <f t="shared" si="25"/>
        <v>40</v>
      </c>
      <c r="H324" s="282">
        <f t="shared" si="26"/>
        <v>3545.9595959595995</v>
      </c>
      <c r="I324" s="282">
        <f t="shared" si="27"/>
        <v>13297.348484848497</v>
      </c>
      <c r="J324" s="282">
        <f t="shared" si="28"/>
        <v>159568.18181818197</v>
      </c>
      <c r="K324" s="282"/>
      <c r="L324" s="240">
        <f t="shared" si="29"/>
        <v>9000</v>
      </c>
      <c r="M324" s="282"/>
      <c r="N324" s="231"/>
    </row>
    <row r="325" spans="2:14" x14ac:dyDescent="0.2">
      <c r="B325" s="281"/>
      <c r="C325" s="282">
        <v>1</v>
      </c>
      <c r="D325" s="283"/>
      <c r="E325" s="282">
        <v>4</v>
      </c>
      <c r="F325" s="282">
        <v>87.7</v>
      </c>
      <c r="G325" s="282">
        <f t="shared" si="25"/>
        <v>49</v>
      </c>
      <c r="H325" s="282">
        <f t="shared" si="26"/>
        <v>2926.1480252928391</v>
      </c>
      <c r="I325" s="282">
        <f t="shared" si="27"/>
        <v>21385.265151515167</v>
      </c>
      <c r="J325" s="282">
        <f t="shared" si="28"/>
        <v>256623.181818182</v>
      </c>
      <c r="K325" s="282"/>
      <c r="L325" s="240">
        <f t="shared" si="29"/>
        <v>17540</v>
      </c>
      <c r="M325" s="282"/>
      <c r="N325" s="231"/>
    </row>
    <row r="326" spans="2:14" x14ac:dyDescent="0.2">
      <c r="B326" s="281"/>
      <c r="C326" s="282">
        <v>1</v>
      </c>
      <c r="D326" s="283"/>
      <c r="E326" s="282">
        <v>4</v>
      </c>
      <c r="F326" s="282">
        <v>89.2</v>
      </c>
      <c r="G326" s="282">
        <f t="shared" si="25"/>
        <v>49</v>
      </c>
      <c r="H326" s="282">
        <f t="shared" si="26"/>
        <v>2908.5099877700795</v>
      </c>
      <c r="I326" s="282">
        <f t="shared" si="27"/>
        <v>21619.924242424258</v>
      </c>
      <c r="J326" s="282">
        <f t="shared" si="28"/>
        <v>259439.09090909112</v>
      </c>
      <c r="K326" s="282"/>
      <c r="L326" s="240">
        <f t="shared" si="29"/>
        <v>17840</v>
      </c>
      <c r="M326" s="282"/>
      <c r="N326" s="231"/>
    </row>
    <row r="327" spans="2:14" x14ac:dyDescent="0.2">
      <c r="B327" s="281"/>
      <c r="C327" s="282">
        <v>1</v>
      </c>
      <c r="D327" s="283"/>
      <c r="E327" s="282">
        <v>1</v>
      </c>
      <c r="F327" s="282">
        <v>26.9</v>
      </c>
      <c r="G327" s="282">
        <f t="shared" si="25"/>
        <v>34</v>
      </c>
      <c r="H327" s="282">
        <f t="shared" si="26"/>
        <v>4250.033795201085</v>
      </c>
      <c r="I327" s="282">
        <f t="shared" si="27"/>
        <v>9527.1590909090974</v>
      </c>
      <c r="J327" s="282">
        <f t="shared" si="28"/>
        <v>114325.90909090918</v>
      </c>
      <c r="K327" s="282"/>
      <c r="L327" s="240">
        <f t="shared" si="29"/>
        <v>5380</v>
      </c>
      <c r="M327" s="282"/>
      <c r="N327" s="231"/>
    </row>
    <row r="328" spans="2:14" x14ac:dyDescent="0.2">
      <c r="B328" s="281"/>
      <c r="C328" s="282">
        <v>1</v>
      </c>
      <c r="D328" s="283"/>
      <c r="E328" s="282">
        <v>1</v>
      </c>
      <c r="F328" s="282">
        <v>26.9</v>
      </c>
      <c r="G328" s="282">
        <f t="shared" si="25"/>
        <v>34</v>
      </c>
      <c r="H328" s="282">
        <f t="shared" si="26"/>
        <v>4250.033795201085</v>
      </c>
      <c r="I328" s="282">
        <f t="shared" si="27"/>
        <v>9527.1590909090974</v>
      </c>
      <c r="J328" s="282">
        <f t="shared" si="28"/>
        <v>114325.90909090918</v>
      </c>
      <c r="K328" s="282"/>
      <c r="L328" s="240">
        <f t="shared" si="29"/>
        <v>5380</v>
      </c>
      <c r="M328" s="282"/>
      <c r="N328" s="231"/>
    </row>
    <row r="329" spans="2:14" x14ac:dyDescent="0.2">
      <c r="B329" s="281"/>
      <c r="C329" s="282">
        <v>1</v>
      </c>
      <c r="D329" s="283"/>
      <c r="E329" s="282">
        <v>1</v>
      </c>
      <c r="F329" s="282">
        <v>26.9</v>
      </c>
      <c r="G329" s="282">
        <f t="shared" si="25"/>
        <v>34</v>
      </c>
      <c r="H329" s="282">
        <f t="shared" si="26"/>
        <v>4250.033795201085</v>
      </c>
      <c r="I329" s="282">
        <f t="shared" si="27"/>
        <v>9527.1590909090974</v>
      </c>
      <c r="J329" s="282">
        <f t="shared" si="28"/>
        <v>114325.90909090918</v>
      </c>
      <c r="K329" s="282"/>
      <c r="L329" s="240">
        <f t="shared" si="29"/>
        <v>5380</v>
      </c>
      <c r="M329" s="282"/>
      <c r="N329" s="231"/>
    </row>
    <row r="330" spans="2:14" x14ac:dyDescent="0.2">
      <c r="B330" s="281"/>
      <c r="C330" s="282">
        <v>1</v>
      </c>
      <c r="D330" s="283"/>
      <c r="E330" s="282">
        <v>1</v>
      </c>
      <c r="F330" s="282">
        <v>26.9</v>
      </c>
      <c r="G330" s="282">
        <f t="shared" si="25"/>
        <v>34</v>
      </c>
      <c r="H330" s="282">
        <f t="shared" si="26"/>
        <v>4250.033795201085</v>
      </c>
      <c r="I330" s="282">
        <f t="shared" si="27"/>
        <v>9527.1590909090974</v>
      </c>
      <c r="J330" s="282">
        <f t="shared" si="28"/>
        <v>114325.90909090918</v>
      </c>
      <c r="K330" s="282"/>
      <c r="L330" s="240">
        <f t="shared" si="29"/>
        <v>5380</v>
      </c>
      <c r="M330" s="282"/>
      <c r="N330" s="231"/>
    </row>
    <row r="331" spans="2:14" x14ac:dyDescent="0.2">
      <c r="B331" s="281"/>
      <c r="C331" s="282">
        <v>1</v>
      </c>
      <c r="D331" s="283"/>
      <c r="E331" s="282">
        <v>1</v>
      </c>
      <c r="F331" s="282">
        <v>47.2</v>
      </c>
      <c r="G331" s="282">
        <f t="shared" si="25"/>
        <v>34</v>
      </c>
      <c r="H331" s="282">
        <f t="shared" si="26"/>
        <v>3229.5454545454572</v>
      </c>
      <c r="I331" s="282">
        <f t="shared" si="27"/>
        <v>12702.878787878799</v>
      </c>
      <c r="J331" s="282">
        <f t="shared" si="28"/>
        <v>152434.54545454559</v>
      </c>
      <c r="K331" s="282"/>
      <c r="L331" s="240">
        <f t="shared" si="29"/>
        <v>9440</v>
      </c>
      <c r="M331" s="282"/>
      <c r="N331" s="231"/>
    </row>
    <row r="332" spans="2:14" x14ac:dyDescent="0.2">
      <c r="B332" s="281"/>
      <c r="C332" s="282">
        <v>1</v>
      </c>
      <c r="D332" s="283"/>
      <c r="E332" s="282">
        <v>3</v>
      </c>
      <c r="F332" s="282">
        <v>49</v>
      </c>
      <c r="G332" s="282">
        <f t="shared" si="25"/>
        <v>44</v>
      </c>
      <c r="H332" s="282">
        <f t="shared" si="26"/>
        <v>3562.987012987016</v>
      </c>
      <c r="I332" s="282">
        <f t="shared" si="27"/>
        <v>14548.863636363649</v>
      </c>
      <c r="J332" s="282">
        <f t="shared" si="28"/>
        <v>174586.36363636379</v>
      </c>
      <c r="K332" s="282"/>
      <c r="L332" s="240">
        <f t="shared" si="29"/>
        <v>9800</v>
      </c>
      <c r="M332" s="282"/>
      <c r="N332" s="231"/>
    </row>
    <row r="333" spans="2:14" x14ac:dyDescent="0.2">
      <c r="B333" s="281"/>
      <c r="C333" s="282">
        <v>1</v>
      </c>
      <c r="D333" s="283"/>
      <c r="E333" s="282">
        <v>3</v>
      </c>
      <c r="F333" s="282">
        <v>53.4</v>
      </c>
      <c r="G333" s="282">
        <f t="shared" si="25"/>
        <v>44</v>
      </c>
      <c r="H333" s="282">
        <f t="shared" si="26"/>
        <v>3424.0892066734796</v>
      </c>
      <c r="I333" s="282">
        <f t="shared" si="27"/>
        <v>15237.196969696983</v>
      </c>
      <c r="J333" s="282">
        <f t="shared" si="28"/>
        <v>182846.36363636379</v>
      </c>
      <c r="K333" s="282"/>
      <c r="L333" s="240">
        <f t="shared" si="29"/>
        <v>10680</v>
      </c>
      <c r="M333" s="282"/>
      <c r="N333" s="231"/>
    </row>
    <row r="334" spans="2:14" x14ac:dyDescent="0.2">
      <c r="B334" s="281"/>
      <c r="C334" s="282">
        <v>1</v>
      </c>
      <c r="D334" s="283"/>
      <c r="E334" s="282">
        <v>1</v>
      </c>
      <c r="F334" s="282">
        <v>26.9</v>
      </c>
      <c r="G334" s="282">
        <f t="shared" si="25"/>
        <v>34</v>
      </c>
      <c r="H334" s="282">
        <f t="shared" si="26"/>
        <v>4250.033795201085</v>
      </c>
      <c r="I334" s="282">
        <f t="shared" si="27"/>
        <v>9527.1590909090974</v>
      </c>
      <c r="J334" s="282">
        <f t="shared" si="28"/>
        <v>114325.90909090918</v>
      </c>
      <c r="K334" s="282"/>
      <c r="L334" s="240">
        <f t="shared" si="29"/>
        <v>5380</v>
      </c>
      <c r="M334" s="282"/>
      <c r="N334" s="231"/>
    </row>
    <row r="335" spans="2:14" x14ac:dyDescent="0.2">
      <c r="B335" s="281"/>
      <c r="C335" s="282">
        <v>1</v>
      </c>
      <c r="D335" s="283"/>
      <c r="E335" s="282">
        <v>1</v>
      </c>
      <c r="F335" s="282">
        <v>26.9</v>
      </c>
      <c r="G335" s="282">
        <f t="shared" si="25"/>
        <v>34</v>
      </c>
      <c r="H335" s="282">
        <f t="shared" si="26"/>
        <v>4250.033795201085</v>
      </c>
      <c r="I335" s="282">
        <f t="shared" si="27"/>
        <v>9527.1590909090974</v>
      </c>
      <c r="J335" s="282">
        <f t="shared" si="28"/>
        <v>114325.90909090918</v>
      </c>
      <c r="K335" s="282"/>
      <c r="L335" s="240">
        <f t="shared" si="29"/>
        <v>5380</v>
      </c>
      <c r="M335" s="282"/>
      <c r="N335" s="231"/>
    </row>
    <row r="336" spans="2:14" x14ac:dyDescent="0.2">
      <c r="B336" s="281"/>
      <c r="C336" s="282">
        <v>1</v>
      </c>
      <c r="D336" s="283"/>
      <c r="E336" s="282">
        <v>1</v>
      </c>
      <c r="F336" s="282">
        <v>26.9</v>
      </c>
      <c r="G336" s="282">
        <f t="shared" si="25"/>
        <v>34</v>
      </c>
      <c r="H336" s="282">
        <f t="shared" si="26"/>
        <v>4250.033795201085</v>
      </c>
      <c r="I336" s="282">
        <f t="shared" si="27"/>
        <v>9527.1590909090974</v>
      </c>
      <c r="J336" s="282">
        <f t="shared" si="28"/>
        <v>114325.90909090918</v>
      </c>
      <c r="K336" s="282"/>
      <c r="L336" s="240">
        <f t="shared" si="29"/>
        <v>5380</v>
      </c>
      <c r="M336" s="282"/>
      <c r="N336" s="231"/>
    </row>
    <row r="337" spans="2:14" x14ac:dyDescent="0.2">
      <c r="B337" s="281"/>
      <c r="C337" s="282">
        <v>1</v>
      </c>
      <c r="D337" s="283"/>
      <c r="E337" s="282">
        <v>1</v>
      </c>
      <c r="F337" s="282">
        <v>26.9</v>
      </c>
      <c r="G337" s="282">
        <f t="shared" si="25"/>
        <v>34</v>
      </c>
      <c r="H337" s="282">
        <f t="shared" si="26"/>
        <v>4250.033795201085</v>
      </c>
      <c r="I337" s="282">
        <f t="shared" si="27"/>
        <v>9527.1590909090974</v>
      </c>
      <c r="J337" s="282">
        <f t="shared" si="28"/>
        <v>114325.90909090918</v>
      </c>
      <c r="K337" s="282"/>
      <c r="L337" s="240">
        <f t="shared" si="29"/>
        <v>5380</v>
      </c>
      <c r="M337" s="282"/>
      <c r="N337" s="231"/>
    </row>
    <row r="338" spans="2:14" x14ac:dyDescent="0.2">
      <c r="B338" s="281"/>
      <c r="C338" s="282">
        <v>1</v>
      </c>
      <c r="D338" s="283"/>
      <c r="E338" s="282">
        <v>1</v>
      </c>
      <c r="F338" s="282">
        <v>33</v>
      </c>
      <c r="G338" s="282">
        <f t="shared" si="25"/>
        <v>34</v>
      </c>
      <c r="H338" s="282">
        <f t="shared" si="26"/>
        <v>3811.4325068870558</v>
      </c>
      <c r="I338" s="282">
        <f t="shared" si="27"/>
        <v>10481.439393939403</v>
      </c>
      <c r="J338" s="282">
        <f t="shared" si="28"/>
        <v>125777.27272727284</v>
      </c>
      <c r="K338" s="282"/>
      <c r="L338" s="240">
        <f t="shared" si="29"/>
        <v>6600</v>
      </c>
      <c r="M338" s="282"/>
      <c r="N338" s="231"/>
    </row>
    <row r="339" spans="2:14" x14ac:dyDescent="0.2">
      <c r="B339" s="281"/>
      <c r="C339" s="282">
        <v>1</v>
      </c>
      <c r="D339" s="283"/>
      <c r="E339" s="282">
        <v>1</v>
      </c>
      <c r="F339" s="282">
        <v>36.6</v>
      </c>
      <c r="G339" s="282">
        <f t="shared" si="25"/>
        <v>34</v>
      </c>
      <c r="H339" s="282">
        <f t="shared" si="26"/>
        <v>3621.187282662695</v>
      </c>
      <c r="I339" s="282">
        <f t="shared" si="27"/>
        <v>11044.621212121221</v>
      </c>
      <c r="J339" s="282">
        <f t="shared" si="28"/>
        <v>132535.45454545465</v>
      </c>
      <c r="K339" s="282"/>
      <c r="L339" s="240">
        <f t="shared" si="29"/>
        <v>7320</v>
      </c>
      <c r="M339" s="282"/>
      <c r="N339" s="231"/>
    </row>
    <row r="340" spans="2:14" x14ac:dyDescent="0.2">
      <c r="B340" s="281"/>
      <c r="C340" s="282">
        <v>1</v>
      </c>
      <c r="D340" s="283"/>
      <c r="E340" s="282">
        <v>2</v>
      </c>
      <c r="F340" s="282">
        <v>40.299999999999997</v>
      </c>
      <c r="G340" s="282">
        <f t="shared" si="25"/>
        <v>40</v>
      </c>
      <c r="H340" s="282">
        <f t="shared" si="26"/>
        <v>3740.5707196029807</v>
      </c>
      <c r="I340" s="282">
        <f t="shared" si="27"/>
        <v>12562.083333333343</v>
      </c>
      <c r="J340" s="282">
        <f t="shared" si="28"/>
        <v>150745.00000000012</v>
      </c>
      <c r="K340" s="282"/>
      <c r="L340" s="240">
        <f t="shared" si="29"/>
        <v>8059.9999999999991</v>
      </c>
      <c r="M340" s="282"/>
      <c r="N340" s="231"/>
    </row>
    <row r="341" spans="2:14" x14ac:dyDescent="0.2">
      <c r="B341" s="281"/>
      <c r="C341" s="282">
        <v>1</v>
      </c>
      <c r="D341" s="283"/>
      <c r="E341" s="282">
        <v>3</v>
      </c>
      <c r="F341" s="282">
        <v>49</v>
      </c>
      <c r="G341" s="282">
        <f t="shared" si="25"/>
        <v>44</v>
      </c>
      <c r="H341" s="282">
        <f t="shared" si="26"/>
        <v>3562.987012987016</v>
      </c>
      <c r="I341" s="282">
        <f t="shared" si="27"/>
        <v>14548.863636363649</v>
      </c>
      <c r="J341" s="282">
        <f t="shared" si="28"/>
        <v>174586.36363636379</v>
      </c>
      <c r="K341" s="282"/>
      <c r="L341" s="240">
        <f t="shared" si="29"/>
        <v>9800</v>
      </c>
      <c r="M341" s="282"/>
      <c r="N341" s="231"/>
    </row>
    <row r="342" spans="2:14" x14ac:dyDescent="0.2">
      <c r="B342" s="281"/>
      <c r="C342" s="282">
        <v>1</v>
      </c>
      <c r="D342" s="283"/>
      <c r="E342" s="282">
        <v>3</v>
      </c>
      <c r="F342" s="282">
        <v>53.4</v>
      </c>
      <c r="G342" s="282">
        <f t="shared" si="25"/>
        <v>44</v>
      </c>
      <c r="H342" s="282">
        <f t="shared" si="26"/>
        <v>3424.0892066734796</v>
      </c>
      <c r="I342" s="282">
        <f t="shared" si="27"/>
        <v>15237.196969696983</v>
      </c>
      <c r="J342" s="282">
        <f t="shared" si="28"/>
        <v>182846.36363636379</v>
      </c>
      <c r="K342" s="282"/>
      <c r="L342" s="240">
        <f t="shared" si="29"/>
        <v>10680</v>
      </c>
      <c r="M342" s="282"/>
      <c r="N342" s="231"/>
    </row>
    <row r="343" spans="2:14" x14ac:dyDescent="0.2">
      <c r="B343" s="281"/>
      <c r="C343" s="282">
        <v>1</v>
      </c>
      <c r="D343" s="283"/>
      <c r="E343" s="282">
        <v>1</v>
      </c>
      <c r="F343" s="282">
        <v>26.9</v>
      </c>
      <c r="G343" s="282">
        <f t="shared" si="25"/>
        <v>34</v>
      </c>
      <c r="H343" s="282">
        <f t="shared" si="26"/>
        <v>4250.033795201085</v>
      </c>
      <c r="I343" s="282">
        <f t="shared" si="27"/>
        <v>9527.1590909090974</v>
      </c>
      <c r="J343" s="282">
        <f t="shared" si="28"/>
        <v>114325.90909090918</v>
      </c>
      <c r="K343" s="282"/>
      <c r="L343" s="240">
        <f t="shared" si="29"/>
        <v>5380</v>
      </c>
      <c r="M343" s="282"/>
      <c r="N343" s="231"/>
    </row>
    <row r="344" spans="2:14" x14ac:dyDescent="0.2">
      <c r="B344" s="281"/>
      <c r="C344" s="282">
        <v>1</v>
      </c>
      <c r="D344" s="283"/>
      <c r="E344" s="282">
        <v>1</v>
      </c>
      <c r="F344" s="282">
        <v>26.9</v>
      </c>
      <c r="G344" s="282">
        <f t="shared" si="25"/>
        <v>34</v>
      </c>
      <c r="H344" s="282">
        <f t="shared" si="26"/>
        <v>4250.033795201085</v>
      </c>
      <c r="I344" s="282">
        <f t="shared" si="27"/>
        <v>9527.1590909090974</v>
      </c>
      <c r="J344" s="282">
        <f t="shared" si="28"/>
        <v>114325.90909090918</v>
      </c>
      <c r="K344" s="282"/>
      <c r="L344" s="240">
        <f t="shared" si="29"/>
        <v>5380</v>
      </c>
      <c r="M344" s="282"/>
      <c r="N344" s="231"/>
    </row>
    <row r="345" spans="2:14" x14ac:dyDescent="0.2">
      <c r="B345" s="281"/>
      <c r="C345" s="282">
        <v>1</v>
      </c>
      <c r="D345" s="283"/>
      <c r="E345" s="282">
        <v>1</v>
      </c>
      <c r="F345" s="282">
        <v>26.9</v>
      </c>
      <c r="G345" s="282">
        <f t="shared" si="25"/>
        <v>34</v>
      </c>
      <c r="H345" s="282">
        <f t="shared" si="26"/>
        <v>4250.033795201085</v>
      </c>
      <c r="I345" s="282">
        <f t="shared" si="27"/>
        <v>9527.1590909090974</v>
      </c>
      <c r="J345" s="282">
        <f t="shared" si="28"/>
        <v>114325.90909090918</v>
      </c>
      <c r="K345" s="282"/>
      <c r="L345" s="240">
        <f t="shared" si="29"/>
        <v>5380</v>
      </c>
      <c r="M345" s="282"/>
      <c r="N345" s="231"/>
    </row>
    <row r="346" spans="2:14" x14ac:dyDescent="0.2">
      <c r="B346" s="281"/>
      <c r="C346" s="282">
        <v>1</v>
      </c>
      <c r="D346" s="283"/>
      <c r="E346" s="282">
        <v>1</v>
      </c>
      <c r="F346" s="282">
        <v>26.9</v>
      </c>
      <c r="G346" s="282">
        <f t="shared" si="25"/>
        <v>34</v>
      </c>
      <c r="H346" s="282">
        <f t="shared" si="26"/>
        <v>4250.033795201085</v>
      </c>
      <c r="I346" s="282">
        <f t="shared" si="27"/>
        <v>9527.1590909090974</v>
      </c>
      <c r="J346" s="282">
        <f t="shared" si="28"/>
        <v>114325.90909090918</v>
      </c>
      <c r="K346" s="282"/>
      <c r="L346" s="240">
        <f t="shared" si="29"/>
        <v>5380</v>
      </c>
      <c r="M346" s="282"/>
      <c r="N346" s="231"/>
    </row>
    <row r="347" spans="2:14" x14ac:dyDescent="0.2">
      <c r="B347" s="281"/>
      <c r="C347" s="282">
        <v>1</v>
      </c>
      <c r="D347" s="283"/>
      <c r="E347" s="282">
        <v>1</v>
      </c>
      <c r="F347" s="282">
        <v>33</v>
      </c>
      <c r="G347" s="282">
        <f t="shared" si="25"/>
        <v>34</v>
      </c>
      <c r="H347" s="282">
        <f t="shared" si="26"/>
        <v>3811.4325068870558</v>
      </c>
      <c r="I347" s="282">
        <f t="shared" si="27"/>
        <v>10481.439393939403</v>
      </c>
      <c r="J347" s="282">
        <f t="shared" si="28"/>
        <v>125777.27272727284</v>
      </c>
      <c r="K347" s="282"/>
      <c r="L347" s="240">
        <f t="shared" si="29"/>
        <v>6600</v>
      </c>
      <c r="M347" s="282"/>
      <c r="N347" s="231"/>
    </row>
    <row r="348" spans="2:14" x14ac:dyDescent="0.2">
      <c r="B348" s="281"/>
      <c r="C348" s="282">
        <v>1</v>
      </c>
      <c r="D348" s="283"/>
      <c r="E348" s="282">
        <v>1</v>
      </c>
      <c r="F348" s="282">
        <v>36.6</v>
      </c>
      <c r="G348" s="282">
        <f t="shared" si="25"/>
        <v>34</v>
      </c>
      <c r="H348" s="282">
        <f t="shared" si="26"/>
        <v>3621.187282662695</v>
      </c>
      <c r="I348" s="282">
        <f t="shared" si="27"/>
        <v>11044.621212121221</v>
      </c>
      <c r="J348" s="282">
        <f t="shared" si="28"/>
        <v>132535.45454545465</v>
      </c>
      <c r="K348" s="282"/>
      <c r="L348" s="240">
        <f t="shared" si="29"/>
        <v>7320</v>
      </c>
      <c r="M348" s="282"/>
      <c r="N348" s="231"/>
    </row>
    <row r="349" spans="2:14" x14ac:dyDescent="0.2">
      <c r="B349" s="281"/>
      <c r="C349" s="282">
        <v>1</v>
      </c>
      <c r="D349" s="283"/>
      <c r="E349" s="282">
        <v>2</v>
      </c>
      <c r="F349" s="282">
        <v>40.299999999999997</v>
      </c>
      <c r="G349" s="282">
        <f t="shared" ref="G349:G412" si="30">IF(E349=1,34,IF(E349=2,40,IF(E349=3,44,IF(E349=4,49,IF(E349=5,52,IF(E349=6,55,IF(E349=1.5,27,IF(E349=2.5,34))))))))</f>
        <v>40</v>
      </c>
      <c r="H349" s="282">
        <f t="shared" ref="H349:H412" si="31">+$H$3*(F349+G349)/(1.57142857142857)/F349</f>
        <v>3740.5707196029807</v>
      </c>
      <c r="I349" s="282">
        <f t="shared" ref="I349:I412" si="32">+F349*H349/12</f>
        <v>12562.083333333343</v>
      </c>
      <c r="J349" s="282">
        <f t="shared" si="28"/>
        <v>150745.00000000012</v>
      </c>
      <c r="K349" s="282"/>
      <c r="L349" s="240">
        <f t="shared" si="29"/>
        <v>8059.9999999999991</v>
      </c>
      <c r="M349" s="282"/>
      <c r="N349" s="231"/>
    </row>
    <row r="350" spans="2:14" x14ac:dyDescent="0.2">
      <c r="B350" s="281"/>
      <c r="C350" s="282">
        <v>1</v>
      </c>
      <c r="D350" s="283"/>
      <c r="E350" s="282">
        <v>3</v>
      </c>
      <c r="F350" s="282">
        <v>49</v>
      </c>
      <c r="G350" s="282">
        <f t="shared" si="30"/>
        <v>44</v>
      </c>
      <c r="H350" s="282">
        <f t="shared" si="31"/>
        <v>3562.987012987016</v>
      </c>
      <c r="I350" s="282">
        <f t="shared" si="32"/>
        <v>14548.863636363649</v>
      </c>
      <c r="J350" s="282">
        <f t="shared" ref="J350:J413" si="33">+I350*12</f>
        <v>174586.36363636379</v>
      </c>
      <c r="K350" s="282"/>
      <c r="L350" s="240">
        <f t="shared" ref="L350:L413" si="34">F350*$H$4</f>
        <v>9800</v>
      </c>
      <c r="M350" s="282"/>
      <c r="N350" s="231"/>
    </row>
    <row r="351" spans="2:14" x14ac:dyDescent="0.2">
      <c r="B351" s="281"/>
      <c r="C351" s="282">
        <v>1</v>
      </c>
      <c r="D351" s="283"/>
      <c r="E351" s="282">
        <v>3</v>
      </c>
      <c r="F351" s="282">
        <v>53.4</v>
      </c>
      <c r="G351" s="282">
        <f t="shared" si="30"/>
        <v>44</v>
      </c>
      <c r="H351" s="282">
        <f t="shared" si="31"/>
        <v>3424.0892066734796</v>
      </c>
      <c r="I351" s="282">
        <f t="shared" si="32"/>
        <v>15237.196969696983</v>
      </c>
      <c r="J351" s="282">
        <f t="shared" si="33"/>
        <v>182846.36363636379</v>
      </c>
      <c r="K351" s="282"/>
      <c r="L351" s="240">
        <f t="shared" si="34"/>
        <v>10680</v>
      </c>
      <c r="M351" s="282"/>
      <c r="N351" s="231"/>
    </row>
    <row r="352" spans="2:14" x14ac:dyDescent="0.2">
      <c r="B352" s="281"/>
      <c r="C352" s="282">
        <v>1</v>
      </c>
      <c r="D352" s="283"/>
      <c r="E352" s="282">
        <v>1</v>
      </c>
      <c r="F352" s="282">
        <v>26.9</v>
      </c>
      <c r="G352" s="282">
        <f t="shared" si="30"/>
        <v>34</v>
      </c>
      <c r="H352" s="282">
        <f t="shared" si="31"/>
        <v>4250.033795201085</v>
      </c>
      <c r="I352" s="282">
        <f t="shared" si="32"/>
        <v>9527.1590909090974</v>
      </c>
      <c r="J352" s="282">
        <f t="shared" si="33"/>
        <v>114325.90909090918</v>
      </c>
      <c r="K352" s="282"/>
      <c r="L352" s="240">
        <f t="shared" si="34"/>
        <v>5380</v>
      </c>
      <c r="M352" s="282"/>
      <c r="N352" s="231"/>
    </row>
    <row r="353" spans="2:14" x14ac:dyDescent="0.2">
      <c r="B353" s="281"/>
      <c r="C353" s="282">
        <v>1</v>
      </c>
      <c r="D353" s="283"/>
      <c r="E353" s="282">
        <v>1</v>
      </c>
      <c r="F353" s="282">
        <v>26.9</v>
      </c>
      <c r="G353" s="282">
        <f t="shared" si="30"/>
        <v>34</v>
      </c>
      <c r="H353" s="282">
        <f t="shared" si="31"/>
        <v>4250.033795201085</v>
      </c>
      <c r="I353" s="282">
        <f t="shared" si="32"/>
        <v>9527.1590909090974</v>
      </c>
      <c r="J353" s="282">
        <f t="shared" si="33"/>
        <v>114325.90909090918</v>
      </c>
      <c r="K353" s="282"/>
      <c r="L353" s="240">
        <f t="shared" si="34"/>
        <v>5380</v>
      </c>
      <c r="M353" s="282"/>
      <c r="N353" s="231"/>
    </row>
    <row r="354" spans="2:14" x14ac:dyDescent="0.2">
      <c r="B354" s="281"/>
      <c r="C354" s="282">
        <v>1</v>
      </c>
      <c r="D354" s="283"/>
      <c r="E354" s="282">
        <v>1</v>
      </c>
      <c r="F354" s="282">
        <v>26.9</v>
      </c>
      <c r="G354" s="282">
        <f t="shared" si="30"/>
        <v>34</v>
      </c>
      <c r="H354" s="282">
        <f t="shared" si="31"/>
        <v>4250.033795201085</v>
      </c>
      <c r="I354" s="282">
        <f t="shared" si="32"/>
        <v>9527.1590909090974</v>
      </c>
      <c r="J354" s="282">
        <f t="shared" si="33"/>
        <v>114325.90909090918</v>
      </c>
      <c r="K354" s="282"/>
      <c r="L354" s="240">
        <f t="shared" si="34"/>
        <v>5380</v>
      </c>
      <c r="M354" s="282"/>
      <c r="N354" s="231"/>
    </row>
    <row r="355" spans="2:14" x14ac:dyDescent="0.2">
      <c r="B355" s="281"/>
      <c r="C355" s="282">
        <v>1</v>
      </c>
      <c r="D355" s="283"/>
      <c r="E355" s="282">
        <v>1</v>
      </c>
      <c r="F355" s="282">
        <v>26.9</v>
      </c>
      <c r="G355" s="282">
        <f t="shared" si="30"/>
        <v>34</v>
      </c>
      <c r="H355" s="282">
        <f t="shared" si="31"/>
        <v>4250.033795201085</v>
      </c>
      <c r="I355" s="282">
        <f t="shared" si="32"/>
        <v>9527.1590909090974</v>
      </c>
      <c r="J355" s="282">
        <f t="shared" si="33"/>
        <v>114325.90909090918</v>
      </c>
      <c r="K355" s="282"/>
      <c r="L355" s="240">
        <f t="shared" si="34"/>
        <v>5380</v>
      </c>
      <c r="M355" s="282"/>
      <c r="N355" s="231"/>
    </row>
    <row r="356" spans="2:14" x14ac:dyDescent="0.2">
      <c r="B356" s="281"/>
      <c r="C356" s="282">
        <v>1</v>
      </c>
      <c r="D356" s="283"/>
      <c r="E356" s="282">
        <v>1</v>
      </c>
      <c r="F356" s="282">
        <v>33</v>
      </c>
      <c r="G356" s="282">
        <f t="shared" si="30"/>
        <v>34</v>
      </c>
      <c r="H356" s="282">
        <f t="shared" si="31"/>
        <v>3811.4325068870558</v>
      </c>
      <c r="I356" s="282">
        <f t="shared" si="32"/>
        <v>10481.439393939403</v>
      </c>
      <c r="J356" s="282">
        <f t="shared" si="33"/>
        <v>125777.27272727284</v>
      </c>
      <c r="K356" s="282"/>
      <c r="L356" s="240">
        <f t="shared" si="34"/>
        <v>6600</v>
      </c>
      <c r="M356" s="282"/>
      <c r="N356" s="231"/>
    </row>
    <row r="357" spans="2:14" x14ac:dyDescent="0.2">
      <c r="B357" s="281"/>
      <c r="C357" s="282">
        <v>1</v>
      </c>
      <c r="D357" s="283"/>
      <c r="E357" s="282">
        <v>1</v>
      </c>
      <c r="F357" s="282">
        <v>36.6</v>
      </c>
      <c r="G357" s="282">
        <f t="shared" si="30"/>
        <v>34</v>
      </c>
      <c r="H357" s="282">
        <f t="shared" si="31"/>
        <v>3621.187282662695</v>
      </c>
      <c r="I357" s="282">
        <f t="shared" si="32"/>
        <v>11044.621212121221</v>
      </c>
      <c r="J357" s="282">
        <f t="shared" si="33"/>
        <v>132535.45454545465</v>
      </c>
      <c r="K357" s="282"/>
      <c r="L357" s="240">
        <f t="shared" si="34"/>
        <v>7320</v>
      </c>
      <c r="M357" s="282"/>
      <c r="N357" s="231"/>
    </row>
    <row r="358" spans="2:14" x14ac:dyDescent="0.2">
      <c r="B358" s="281"/>
      <c r="C358" s="282">
        <v>1</v>
      </c>
      <c r="D358" s="283"/>
      <c r="E358" s="282">
        <v>2</v>
      </c>
      <c r="F358" s="282">
        <v>40.299999999999997</v>
      </c>
      <c r="G358" s="282">
        <f t="shared" si="30"/>
        <v>40</v>
      </c>
      <c r="H358" s="282">
        <f t="shared" si="31"/>
        <v>3740.5707196029807</v>
      </c>
      <c r="I358" s="282">
        <f t="shared" si="32"/>
        <v>12562.083333333343</v>
      </c>
      <c r="J358" s="282">
        <f t="shared" si="33"/>
        <v>150745.00000000012</v>
      </c>
      <c r="K358" s="282"/>
      <c r="L358" s="240">
        <f t="shared" si="34"/>
        <v>8059.9999999999991</v>
      </c>
      <c r="M358" s="282"/>
      <c r="N358" s="231"/>
    </row>
    <row r="359" spans="2:14" x14ac:dyDescent="0.2">
      <c r="B359" s="281"/>
      <c r="C359" s="282">
        <v>1</v>
      </c>
      <c r="D359" s="283"/>
      <c r="E359" s="282">
        <v>3</v>
      </c>
      <c r="F359" s="282">
        <v>49</v>
      </c>
      <c r="G359" s="282">
        <f t="shared" si="30"/>
        <v>44</v>
      </c>
      <c r="H359" s="282">
        <f t="shared" si="31"/>
        <v>3562.987012987016</v>
      </c>
      <c r="I359" s="282">
        <f t="shared" si="32"/>
        <v>14548.863636363649</v>
      </c>
      <c r="J359" s="282">
        <f t="shared" si="33"/>
        <v>174586.36363636379</v>
      </c>
      <c r="K359" s="282"/>
      <c r="L359" s="240">
        <f t="shared" si="34"/>
        <v>9800</v>
      </c>
      <c r="M359" s="282"/>
      <c r="N359" s="231"/>
    </row>
    <row r="360" spans="2:14" x14ac:dyDescent="0.2">
      <c r="B360" s="281"/>
      <c r="C360" s="282">
        <v>1</v>
      </c>
      <c r="D360" s="283"/>
      <c r="E360" s="282">
        <v>3</v>
      </c>
      <c r="F360" s="282">
        <v>53.4</v>
      </c>
      <c r="G360" s="282">
        <f t="shared" si="30"/>
        <v>44</v>
      </c>
      <c r="H360" s="282">
        <f t="shared" si="31"/>
        <v>3424.0892066734796</v>
      </c>
      <c r="I360" s="282">
        <f t="shared" si="32"/>
        <v>15237.196969696983</v>
      </c>
      <c r="J360" s="282">
        <f t="shared" si="33"/>
        <v>182846.36363636379</v>
      </c>
      <c r="K360" s="282"/>
      <c r="L360" s="240">
        <f t="shared" si="34"/>
        <v>10680</v>
      </c>
      <c r="M360" s="282"/>
      <c r="N360" s="231"/>
    </row>
    <row r="361" spans="2:14" x14ac:dyDescent="0.2">
      <c r="B361" s="281"/>
      <c r="C361" s="282">
        <v>1</v>
      </c>
      <c r="D361" s="283"/>
      <c r="E361" s="282">
        <v>1</v>
      </c>
      <c r="F361" s="282">
        <v>26.9</v>
      </c>
      <c r="G361" s="282">
        <f t="shared" si="30"/>
        <v>34</v>
      </c>
      <c r="H361" s="282">
        <f t="shared" si="31"/>
        <v>4250.033795201085</v>
      </c>
      <c r="I361" s="282">
        <f t="shared" si="32"/>
        <v>9527.1590909090974</v>
      </c>
      <c r="J361" s="282">
        <f t="shared" si="33"/>
        <v>114325.90909090918</v>
      </c>
      <c r="K361" s="282"/>
      <c r="L361" s="240">
        <f t="shared" si="34"/>
        <v>5380</v>
      </c>
      <c r="M361" s="282"/>
      <c r="N361" s="231"/>
    </row>
    <row r="362" spans="2:14" x14ac:dyDescent="0.2">
      <c r="B362" s="281"/>
      <c r="C362" s="282">
        <v>1</v>
      </c>
      <c r="D362" s="283"/>
      <c r="E362" s="282">
        <v>1</v>
      </c>
      <c r="F362" s="282">
        <v>26.9</v>
      </c>
      <c r="G362" s="282">
        <f t="shared" si="30"/>
        <v>34</v>
      </c>
      <c r="H362" s="282">
        <f t="shared" si="31"/>
        <v>4250.033795201085</v>
      </c>
      <c r="I362" s="282">
        <f t="shared" si="32"/>
        <v>9527.1590909090974</v>
      </c>
      <c r="J362" s="282">
        <f t="shared" si="33"/>
        <v>114325.90909090918</v>
      </c>
      <c r="K362" s="282"/>
      <c r="L362" s="240">
        <f t="shared" si="34"/>
        <v>5380</v>
      </c>
      <c r="M362" s="282"/>
      <c r="N362" s="231"/>
    </row>
    <row r="363" spans="2:14" x14ac:dyDescent="0.2">
      <c r="B363" s="281"/>
      <c r="C363" s="282">
        <v>1</v>
      </c>
      <c r="D363" s="283"/>
      <c r="E363" s="282">
        <v>1</v>
      </c>
      <c r="F363" s="282">
        <v>26.9</v>
      </c>
      <c r="G363" s="282">
        <f t="shared" si="30"/>
        <v>34</v>
      </c>
      <c r="H363" s="282">
        <f t="shared" si="31"/>
        <v>4250.033795201085</v>
      </c>
      <c r="I363" s="282">
        <f t="shared" si="32"/>
        <v>9527.1590909090974</v>
      </c>
      <c r="J363" s="282">
        <f t="shared" si="33"/>
        <v>114325.90909090918</v>
      </c>
      <c r="K363" s="282"/>
      <c r="L363" s="240">
        <f t="shared" si="34"/>
        <v>5380</v>
      </c>
      <c r="M363" s="282"/>
      <c r="N363" s="231"/>
    </row>
    <row r="364" spans="2:14" x14ac:dyDescent="0.2">
      <c r="B364" s="281"/>
      <c r="C364" s="282">
        <v>1</v>
      </c>
      <c r="D364" s="283"/>
      <c r="E364" s="282">
        <v>1</v>
      </c>
      <c r="F364" s="282">
        <v>26.9</v>
      </c>
      <c r="G364" s="282">
        <f t="shared" si="30"/>
        <v>34</v>
      </c>
      <c r="H364" s="282">
        <f t="shared" si="31"/>
        <v>4250.033795201085</v>
      </c>
      <c r="I364" s="282">
        <f t="shared" si="32"/>
        <v>9527.1590909090974</v>
      </c>
      <c r="J364" s="282">
        <f t="shared" si="33"/>
        <v>114325.90909090918</v>
      </c>
      <c r="K364" s="282"/>
      <c r="L364" s="240">
        <f t="shared" si="34"/>
        <v>5380</v>
      </c>
      <c r="M364" s="282"/>
      <c r="N364" s="231"/>
    </row>
    <row r="365" spans="2:14" x14ac:dyDescent="0.2">
      <c r="B365" s="281"/>
      <c r="C365" s="282">
        <v>1</v>
      </c>
      <c r="D365" s="283"/>
      <c r="E365" s="282">
        <v>1</v>
      </c>
      <c r="F365" s="282">
        <v>33</v>
      </c>
      <c r="G365" s="282">
        <f t="shared" si="30"/>
        <v>34</v>
      </c>
      <c r="H365" s="282">
        <f t="shared" si="31"/>
        <v>3811.4325068870558</v>
      </c>
      <c r="I365" s="282">
        <f t="shared" si="32"/>
        <v>10481.439393939403</v>
      </c>
      <c r="J365" s="282">
        <f t="shared" si="33"/>
        <v>125777.27272727284</v>
      </c>
      <c r="K365" s="282"/>
      <c r="L365" s="240">
        <f t="shared" si="34"/>
        <v>6600</v>
      </c>
      <c r="M365" s="282"/>
      <c r="N365" s="231"/>
    </row>
    <row r="366" spans="2:14" x14ac:dyDescent="0.2">
      <c r="B366" s="281"/>
      <c r="C366" s="282">
        <v>1</v>
      </c>
      <c r="D366" s="283"/>
      <c r="E366" s="282">
        <v>1</v>
      </c>
      <c r="F366" s="282">
        <v>36.6</v>
      </c>
      <c r="G366" s="282">
        <f t="shared" si="30"/>
        <v>34</v>
      </c>
      <c r="H366" s="282">
        <f t="shared" si="31"/>
        <v>3621.187282662695</v>
      </c>
      <c r="I366" s="282">
        <f t="shared" si="32"/>
        <v>11044.621212121221</v>
      </c>
      <c r="J366" s="282">
        <f t="shared" si="33"/>
        <v>132535.45454545465</v>
      </c>
      <c r="K366" s="282"/>
      <c r="L366" s="240">
        <f t="shared" si="34"/>
        <v>7320</v>
      </c>
      <c r="M366" s="282"/>
      <c r="N366" s="231"/>
    </row>
    <row r="367" spans="2:14" x14ac:dyDescent="0.2">
      <c r="B367" s="281"/>
      <c r="C367" s="282">
        <v>1</v>
      </c>
      <c r="D367" s="283"/>
      <c r="E367" s="282">
        <v>2</v>
      </c>
      <c r="F367" s="282">
        <v>40.299999999999997</v>
      </c>
      <c r="G367" s="282">
        <f t="shared" si="30"/>
        <v>40</v>
      </c>
      <c r="H367" s="282">
        <f t="shared" si="31"/>
        <v>3740.5707196029807</v>
      </c>
      <c r="I367" s="282">
        <f t="shared" si="32"/>
        <v>12562.083333333343</v>
      </c>
      <c r="J367" s="282">
        <f t="shared" si="33"/>
        <v>150745.00000000012</v>
      </c>
      <c r="K367" s="282"/>
      <c r="L367" s="240">
        <f t="shared" si="34"/>
        <v>8059.9999999999991</v>
      </c>
      <c r="M367" s="282"/>
      <c r="N367" s="231"/>
    </row>
    <row r="368" spans="2:14" x14ac:dyDescent="0.2">
      <c r="B368" s="281"/>
      <c r="C368" s="282">
        <v>1</v>
      </c>
      <c r="D368" s="283"/>
      <c r="E368" s="282">
        <v>3</v>
      </c>
      <c r="F368" s="282">
        <v>49</v>
      </c>
      <c r="G368" s="282">
        <f t="shared" si="30"/>
        <v>44</v>
      </c>
      <c r="H368" s="282">
        <f t="shared" si="31"/>
        <v>3562.987012987016</v>
      </c>
      <c r="I368" s="282">
        <f t="shared" si="32"/>
        <v>14548.863636363649</v>
      </c>
      <c r="J368" s="282">
        <f t="shared" si="33"/>
        <v>174586.36363636379</v>
      </c>
      <c r="K368" s="282"/>
      <c r="L368" s="240">
        <f t="shared" si="34"/>
        <v>9800</v>
      </c>
      <c r="M368" s="282"/>
      <c r="N368" s="231"/>
    </row>
    <row r="369" spans="2:14" x14ac:dyDescent="0.2">
      <c r="B369" s="281"/>
      <c r="C369" s="282">
        <v>1</v>
      </c>
      <c r="D369" s="283"/>
      <c r="E369" s="282">
        <v>3</v>
      </c>
      <c r="F369" s="282">
        <v>53.4</v>
      </c>
      <c r="G369" s="282">
        <f t="shared" si="30"/>
        <v>44</v>
      </c>
      <c r="H369" s="282">
        <f t="shared" si="31"/>
        <v>3424.0892066734796</v>
      </c>
      <c r="I369" s="282">
        <f t="shared" si="32"/>
        <v>15237.196969696983</v>
      </c>
      <c r="J369" s="282">
        <f t="shared" si="33"/>
        <v>182846.36363636379</v>
      </c>
      <c r="K369" s="282"/>
      <c r="L369" s="240">
        <f t="shared" si="34"/>
        <v>10680</v>
      </c>
      <c r="M369" s="282"/>
      <c r="N369" s="231"/>
    </row>
    <row r="370" spans="2:14" x14ac:dyDescent="0.2">
      <c r="B370" s="281"/>
      <c r="C370" s="282">
        <v>1</v>
      </c>
      <c r="D370" s="283"/>
      <c r="E370" s="282">
        <v>1</v>
      </c>
      <c r="F370" s="282">
        <v>26.9</v>
      </c>
      <c r="G370" s="282">
        <f t="shared" si="30"/>
        <v>34</v>
      </c>
      <c r="H370" s="282">
        <f t="shared" si="31"/>
        <v>4250.033795201085</v>
      </c>
      <c r="I370" s="282">
        <f t="shared" si="32"/>
        <v>9527.1590909090974</v>
      </c>
      <c r="J370" s="282">
        <f t="shared" si="33"/>
        <v>114325.90909090918</v>
      </c>
      <c r="K370" s="282"/>
      <c r="L370" s="240">
        <f t="shared" si="34"/>
        <v>5380</v>
      </c>
      <c r="M370" s="282"/>
      <c r="N370" s="231"/>
    </row>
    <row r="371" spans="2:14" x14ac:dyDescent="0.2">
      <c r="B371" s="281"/>
      <c r="C371" s="282">
        <v>1</v>
      </c>
      <c r="D371" s="283"/>
      <c r="E371" s="282">
        <v>1</v>
      </c>
      <c r="F371" s="282">
        <v>26.9</v>
      </c>
      <c r="G371" s="282">
        <f t="shared" si="30"/>
        <v>34</v>
      </c>
      <c r="H371" s="282">
        <f t="shared" si="31"/>
        <v>4250.033795201085</v>
      </c>
      <c r="I371" s="282">
        <f t="shared" si="32"/>
        <v>9527.1590909090974</v>
      </c>
      <c r="J371" s="282">
        <f t="shared" si="33"/>
        <v>114325.90909090918</v>
      </c>
      <c r="K371" s="282"/>
      <c r="L371" s="240">
        <f t="shared" si="34"/>
        <v>5380</v>
      </c>
      <c r="M371" s="282"/>
      <c r="N371" s="231"/>
    </row>
    <row r="372" spans="2:14" x14ac:dyDescent="0.2">
      <c r="B372" s="281"/>
      <c r="C372" s="282">
        <v>1</v>
      </c>
      <c r="D372" s="283"/>
      <c r="E372" s="282">
        <v>1</v>
      </c>
      <c r="F372" s="282">
        <v>26.9</v>
      </c>
      <c r="G372" s="282">
        <f t="shared" si="30"/>
        <v>34</v>
      </c>
      <c r="H372" s="282">
        <f t="shared" si="31"/>
        <v>4250.033795201085</v>
      </c>
      <c r="I372" s="282">
        <f t="shared" si="32"/>
        <v>9527.1590909090974</v>
      </c>
      <c r="J372" s="282">
        <f t="shared" si="33"/>
        <v>114325.90909090918</v>
      </c>
      <c r="K372" s="282"/>
      <c r="L372" s="240">
        <f t="shared" si="34"/>
        <v>5380</v>
      </c>
      <c r="M372" s="282"/>
      <c r="N372" s="231"/>
    </row>
    <row r="373" spans="2:14" x14ac:dyDescent="0.2">
      <c r="B373" s="281"/>
      <c r="C373" s="282">
        <v>1</v>
      </c>
      <c r="D373" s="283"/>
      <c r="E373" s="282">
        <v>1</v>
      </c>
      <c r="F373" s="282">
        <v>26.9</v>
      </c>
      <c r="G373" s="282">
        <f t="shared" si="30"/>
        <v>34</v>
      </c>
      <c r="H373" s="282">
        <f t="shared" si="31"/>
        <v>4250.033795201085</v>
      </c>
      <c r="I373" s="282">
        <f t="shared" si="32"/>
        <v>9527.1590909090974</v>
      </c>
      <c r="J373" s="282">
        <f t="shared" si="33"/>
        <v>114325.90909090918</v>
      </c>
      <c r="K373" s="282"/>
      <c r="L373" s="240">
        <f t="shared" si="34"/>
        <v>5380</v>
      </c>
      <c r="M373" s="282"/>
      <c r="N373" s="231"/>
    </row>
    <row r="374" spans="2:14" x14ac:dyDescent="0.2">
      <c r="B374" s="281"/>
      <c r="C374" s="282">
        <v>1</v>
      </c>
      <c r="D374" s="283"/>
      <c r="E374" s="282">
        <v>1</v>
      </c>
      <c r="F374" s="282">
        <v>33</v>
      </c>
      <c r="G374" s="282">
        <f t="shared" si="30"/>
        <v>34</v>
      </c>
      <c r="H374" s="282">
        <f t="shared" si="31"/>
        <v>3811.4325068870558</v>
      </c>
      <c r="I374" s="282">
        <f t="shared" si="32"/>
        <v>10481.439393939403</v>
      </c>
      <c r="J374" s="282">
        <f t="shared" si="33"/>
        <v>125777.27272727284</v>
      </c>
      <c r="K374" s="282"/>
      <c r="L374" s="240">
        <f t="shared" si="34"/>
        <v>6600</v>
      </c>
      <c r="M374" s="282"/>
      <c r="N374" s="231"/>
    </row>
    <row r="375" spans="2:14" x14ac:dyDescent="0.2">
      <c r="B375" s="281"/>
      <c r="C375" s="282">
        <v>1</v>
      </c>
      <c r="D375" s="283"/>
      <c r="E375" s="282">
        <v>1</v>
      </c>
      <c r="F375" s="282">
        <v>36.6</v>
      </c>
      <c r="G375" s="282">
        <f t="shared" si="30"/>
        <v>34</v>
      </c>
      <c r="H375" s="282">
        <f t="shared" si="31"/>
        <v>3621.187282662695</v>
      </c>
      <c r="I375" s="282">
        <f t="shared" si="32"/>
        <v>11044.621212121221</v>
      </c>
      <c r="J375" s="282">
        <f t="shared" si="33"/>
        <v>132535.45454545465</v>
      </c>
      <c r="K375" s="282"/>
      <c r="L375" s="240">
        <f t="shared" si="34"/>
        <v>7320</v>
      </c>
      <c r="M375" s="282"/>
      <c r="N375" s="231"/>
    </row>
    <row r="376" spans="2:14" x14ac:dyDescent="0.2">
      <c r="B376" s="281"/>
      <c r="C376" s="282">
        <v>1</v>
      </c>
      <c r="D376" s="283"/>
      <c r="E376" s="282">
        <v>2</v>
      </c>
      <c r="F376" s="282">
        <v>40.299999999999997</v>
      </c>
      <c r="G376" s="282">
        <f t="shared" si="30"/>
        <v>40</v>
      </c>
      <c r="H376" s="282">
        <f t="shared" si="31"/>
        <v>3740.5707196029807</v>
      </c>
      <c r="I376" s="282">
        <f t="shared" si="32"/>
        <v>12562.083333333343</v>
      </c>
      <c r="J376" s="282">
        <f t="shared" si="33"/>
        <v>150745.00000000012</v>
      </c>
      <c r="K376" s="282"/>
      <c r="L376" s="240">
        <f t="shared" si="34"/>
        <v>8059.9999999999991</v>
      </c>
      <c r="M376" s="282"/>
      <c r="N376" s="231"/>
    </row>
    <row r="377" spans="2:14" x14ac:dyDescent="0.2">
      <c r="B377" s="281"/>
      <c r="C377" s="282">
        <v>1</v>
      </c>
      <c r="D377" s="283"/>
      <c r="E377" s="282">
        <v>3</v>
      </c>
      <c r="F377" s="282">
        <v>49</v>
      </c>
      <c r="G377" s="282">
        <f t="shared" si="30"/>
        <v>44</v>
      </c>
      <c r="H377" s="282">
        <f t="shared" si="31"/>
        <v>3562.987012987016</v>
      </c>
      <c r="I377" s="282">
        <f t="shared" si="32"/>
        <v>14548.863636363649</v>
      </c>
      <c r="J377" s="282">
        <f t="shared" si="33"/>
        <v>174586.36363636379</v>
      </c>
      <c r="K377" s="282"/>
      <c r="L377" s="240">
        <f t="shared" si="34"/>
        <v>9800</v>
      </c>
      <c r="M377" s="282"/>
      <c r="N377" s="231"/>
    </row>
    <row r="378" spans="2:14" x14ac:dyDescent="0.2">
      <c r="B378" s="281"/>
      <c r="C378" s="282">
        <v>1</v>
      </c>
      <c r="D378" s="283"/>
      <c r="E378" s="282">
        <v>3</v>
      </c>
      <c r="F378" s="282">
        <v>53.4</v>
      </c>
      <c r="G378" s="282">
        <f t="shared" si="30"/>
        <v>44</v>
      </c>
      <c r="H378" s="282">
        <f t="shared" si="31"/>
        <v>3424.0892066734796</v>
      </c>
      <c r="I378" s="282">
        <f t="shared" si="32"/>
        <v>15237.196969696983</v>
      </c>
      <c r="J378" s="282">
        <f t="shared" si="33"/>
        <v>182846.36363636379</v>
      </c>
      <c r="K378" s="282"/>
      <c r="L378" s="240">
        <f t="shared" si="34"/>
        <v>10680</v>
      </c>
      <c r="M378" s="282"/>
      <c r="N378" s="231"/>
    </row>
    <row r="379" spans="2:14" x14ac:dyDescent="0.2">
      <c r="B379" s="281"/>
      <c r="C379" s="282">
        <v>1</v>
      </c>
      <c r="D379" s="283"/>
      <c r="E379" s="282">
        <v>1</v>
      </c>
      <c r="F379" s="282">
        <v>26.9</v>
      </c>
      <c r="G379" s="282">
        <f t="shared" si="30"/>
        <v>34</v>
      </c>
      <c r="H379" s="282">
        <f t="shared" si="31"/>
        <v>4250.033795201085</v>
      </c>
      <c r="I379" s="282">
        <f t="shared" si="32"/>
        <v>9527.1590909090974</v>
      </c>
      <c r="J379" s="282">
        <f t="shared" si="33"/>
        <v>114325.90909090918</v>
      </c>
      <c r="K379" s="282"/>
      <c r="L379" s="240">
        <f t="shared" si="34"/>
        <v>5380</v>
      </c>
      <c r="M379" s="282"/>
      <c r="N379" s="231"/>
    </row>
    <row r="380" spans="2:14" x14ac:dyDescent="0.2">
      <c r="B380" s="281"/>
      <c r="C380" s="282">
        <v>1</v>
      </c>
      <c r="D380" s="283"/>
      <c r="E380" s="282">
        <v>1</v>
      </c>
      <c r="F380" s="282">
        <v>26.9</v>
      </c>
      <c r="G380" s="282">
        <f t="shared" si="30"/>
        <v>34</v>
      </c>
      <c r="H380" s="282">
        <f t="shared" si="31"/>
        <v>4250.033795201085</v>
      </c>
      <c r="I380" s="282">
        <f t="shared" si="32"/>
        <v>9527.1590909090974</v>
      </c>
      <c r="J380" s="282">
        <f t="shared" si="33"/>
        <v>114325.90909090918</v>
      </c>
      <c r="K380" s="282"/>
      <c r="L380" s="240">
        <f t="shared" si="34"/>
        <v>5380</v>
      </c>
      <c r="M380" s="282"/>
      <c r="N380" s="231"/>
    </row>
    <row r="381" spans="2:14" x14ac:dyDescent="0.2">
      <c r="B381" s="281"/>
      <c r="C381" s="282">
        <v>1</v>
      </c>
      <c r="D381" s="283"/>
      <c r="E381" s="282">
        <v>1</v>
      </c>
      <c r="F381" s="282">
        <v>26.9</v>
      </c>
      <c r="G381" s="282">
        <f t="shared" si="30"/>
        <v>34</v>
      </c>
      <c r="H381" s="282">
        <f t="shared" si="31"/>
        <v>4250.033795201085</v>
      </c>
      <c r="I381" s="282">
        <f t="shared" si="32"/>
        <v>9527.1590909090974</v>
      </c>
      <c r="J381" s="282">
        <f t="shared" si="33"/>
        <v>114325.90909090918</v>
      </c>
      <c r="K381" s="282"/>
      <c r="L381" s="240">
        <f t="shared" si="34"/>
        <v>5380</v>
      </c>
      <c r="M381" s="282"/>
      <c r="N381" s="231"/>
    </row>
    <row r="382" spans="2:14" x14ac:dyDescent="0.2">
      <c r="B382" s="281"/>
      <c r="C382" s="282">
        <v>1</v>
      </c>
      <c r="D382" s="283"/>
      <c r="E382" s="282">
        <v>1</v>
      </c>
      <c r="F382" s="282">
        <v>26.9</v>
      </c>
      <c r="G382" s="282">
        <f t="shared" si="30"/>
        <v>34</v>
      </c>
      <c r="H382" s="282">
        <f t="shared" si="31"/>
        <v>4250.033795201085</v>
      </c>
      <c r="I382" s="282">
        <f t="shared" si="32"/>
        <v>9527.1590909090974</v>
      </c>
      <c r="J382" s="282">
        <f t="shared" si="33"/>
        <v>114325.90909090918</v>
      </c>
      <c r="K382" s="282"/>
      <c r="L382" s="240">
        <f t="shared" si="34"/>
        <v>5380</v>
      </c>
      <c r="M382" s="282"/>
      <c r="N382" s="231"/>
    </row>
    <row r="383" spans="2:14" x14ac:dyDescent="0.2">
      <c r="B383" s="281"/>
      <c r="C383" s="282">
        <v>1</v>
      </c>
      <c r="D383" s="283"/>
      <c r="E383" s="282">
        <v>1</v>
      </c>
      <c r="F383" s="282">
        <v>35.1</v>
      </c>
      <c r="G383" s="282">
        <f t="shared" si="30"/>
        <v>34</v>
      </c>
      <c r="H383" s="282">
        <f t="shared" si="31"/>
        <v>3695.7135457135482</v>
      </c>
      <c r="I383" s="282">
        <f t="shared" si="32"/>
        <v>10809.962121212129</v>
      </c>
      <c r="J383" s="282">
        <f t="shared" si="33"/>
        <v>129719.54545454556</v>
      </c>
      <c r="K383" s="282"/>
      <c r="L383" s="240">
        <f t="shared" si="34"/>
        <v>7020</v>
      </c>
      <c r="M383" s="282"/>
      <c r="N383" s="231"/>
    </row>
    <row r="384" spans="2:14" x14ac:dyDescent="0.2">
      <c r="B384" s="281"/>
      <c r="C384" s="282">
        <v>1</v>
      </c>
      <c r="D384" s="283"/>
      <c r="E384" s="282">
        <v>1</v>
      </c>
      <c r="F384" s="282">
        <v>45.1</v>
      </c>
      <c r="G384" s="282">
        <f t="shared" si="30"/>
        <v>34</v>
      </c>
      <c r="H384" s="282">
        <f t="shared" si="31"/>
        <v>3292.5115904051627</v>
      </c>
      <c r="I384" s="282">
        <f t="shared" si="32"/>
        <v>12374.356060606071</v>
      </c>
      <c r="J384" s="282">
        <f t="shared" si="33"/>
        <v>148492.27272727285</v>
      </c>
      <c r="K384" s="282"/>
      <c r="L384" s="240">
        <f t="shared" si="34"/>
        <v>9020</v>
      </c>
      <c r="M384" s="282"/>
      <c r="N384" s="231"/>
    </row>
    <row r="385" spans="2:14" x14ac:dyDescent="0.2">
      <c r="B385" s="281"/>
      <c r="C385" s="282">
        <v>1</v>
      </c>
      <c r="D385" s="283"/>
      <c r="E385" s="282">
        <v>2</v>
      </c>
      <c r="F385" s="282">
        <v>35.5</v>
      </c>
      <c r="G385" s="282">
        <f t="shared" si="30"/>
        <v>40</v>
      </c>
      <c r="H385" s="282">
        <f t="shared" si="31"/>
        <v>3992.5096030729869</v>
      </c>
      <c r="I385" s="282">
        <f t="shared" si="32"/>
        <v>11811.174242424253</v>
      </c>
      <c r="J385" s="282">
        <f t="shared" si="33"/>
        <v>141734.09090909103</v>
      </c>
      <c r="K385" s="282"/>
      <c r="L385" s="240">
        <f t="shared" si="34"/>
        <v>7100</v>
      </c>
      <c r="M385" s="282"/>
      <c r="N385" s="231"/>
    </row>
    <row r="386" spans="2:14" x14ac:dyDescent="0.2">
      <c r="B386" s="281"/>
      <c r="C386" s="282">
        <v>1</v>
      </c>
      <c r="D386" s="283"/>
      <c r="E386" s="282">
        <v>3</v>
      </c>
      <c r="F386" s="282">
        <v>49</v>
      </c>
      <c r="G386" s="282">
        <f t="shared" si="30"/>
        <v>44</v>
      </c>
      <c r="H386" s="282">
        <f t="shared" si="31"/>
        <v>3562.987012987016</v>
      </c>
      <c r="I386" s="282">
        <f t="shared" si="32"/>
        <v>14548.863636363649</v>
      </c>
      <c r="J386" s="282">
        <f t="shared" si="33"/>
        <v>174586.36363636379</v>
      </c>
      <c r="K386" s="282"/>
      <c r="L386" s="240">
        <f t="shared" si="34"/>
        <v>9800</v>
      </c>
      <c r="M386" s="282"/>
      <c r="N386" s="231"/>
    </row>
    <row r="387" spans="2:14" x14ac:dyDescent="0.2">
      <c r="B387" s="281"/>
      <c r="C387" s="282">
        <v>1</v>
      </c>
      <c r="D387" s="283"/>
      <c r="E387" s="282">
        <v>1</v>
      </c>
      <c r="F387" s="282">
        <v>26.9</v>
      </c>
      <c r="G387" s="282">
        <f t="shared" si="30"/>
        <v>34</v>
      </c>
      <c r="H387" s="282">
        <f t="shared" si="31"/>
        <v>4250.033795201085</v>
      </c>
      <c r="I387" s="282">
        <f t="shared" si="32"/>
        <v>9527.1590909090974</v>
      </c>
      <c r="J387" s="282">
        <f t="shared" si="33"/>
        <v>114325.90909090918</v>
      </c>
      <c r="K387" s="282"/>
      <c r="L387" s="240">
        <f t="shared" si="34"/>
        <v>5380</v>
      </c>
      <c r="M387" s="282"/>
      <c r="N387" s="231"/>
    </row>
    <row r="388" spans="2:14" x14ac:dyDescent="0.2">
      <c r="B388" s="281"/>
      <c r="C388" s="282">
        <v>1</v>
      </c>
      <c r="D388" s="283"/>
      <c r="E388" s="282">
        <v>1</v>
      </c>
      <c r="F388" s="282">
        <v>26.9</v>
      </c>
      <c r="G388" s="282">
        <f t="shared" si="30"/>
        <v>34</v>
      </c>
      <c r="H388" s="282">
        <f t="shared" si="31"/>
        <v>4250.033795201085</v>
      </c>
      <c r="I388" s="282">
        <f t="shared" si="32"/>
        <v>9527.1590909090974</v>
      </c>
      <c r="J388" s="282">
        <f t="shared" si="33"/>
        <v>114325.90909090918</v>
      </c>
      <c r="K388" s="282"/>
      <c r="L388" s="240">
        <f t="shared" si="34"/>
        <v>5380</v>
      </c>
      <c r="M388" s="282"/>
      <c r="N388" s="231"/>
    </row>
    <row r="389" spans="2:14" x14ac:dyDescent="0.2">
      <c r="B389" s="281"/>
      <c r="C389" s="282">
        <v>1</v>
      </c>
      <c r="D389" s="283"/>
      <c r="E389" s="282">
        <v>1</v>
      </c>
      <c r="F389" s="282">
        <v>26.9</v>
      </c>
      <c r="G389" s="282">
        <f t="shared" si="30"/>
        <v>34</v>
      </c>
      <c r="H389" s="282">
        <f t="shared" si="31"/>
        <v>4250.033795201085</v>
      </c>
      <c r="I389" s="282">
        <f t="shared" si="32"/>
        <v>9527.1590909090974</v>
      </c>
      <c r="J389" s="282">
        <f t="shared" si="33"/>
        <v>114325.90909090918</v>
      </c>
      <c r="K389" s="282"/>
      <c r="L389" s="240">
        <f t="shared" si="34"/>
        <v>5380</v>
      </c>
      <c r="M389" s="282"/>
      <c r="N389" s="231"/>
    </row>
    <row r="390" spans="2:14" x14ac:dyDescent="0.2">
      <c r="B390" s="281"/>
      <c r="C390" s="282">
        <v>1</v>
      </c>
      <c r="D390" s="283"/>
      <c r="E390" s="282">
        <v>1</v>
      </c>
      <c r="F390" s="282">
        <v>26.9</v>
      </c>
      <c r="G390" s="282">
        <f t="shared" si="30"/>
        <v>34</v>
      </c>
      <c r="H390" s="282">
        <f t="shared" si="31"/>
        <v>4250.033795201085</v>
      </c>
      <c r="I390" s="282">
        <f t="shared" si="32"/>
        <v>9527.1590909090974</v>
      </c>
      <c r="J390" s="282">
        <f t="shared" si="33"/>
        <v>114325.90909090918</v>
      </c>
      <c r="K390" s="282"/>
      <c r="L390" s="240">
        <f t="shared" si="34"/>
        <v>5380</v>
      </c>
      <c r="M390" s="282"/>
      <c r="N390" s="231"/>
    </row>
    <row r="391" spans="2:14" x14ac:dyDescent="0.2">
      <c r="B391" s="281"/>
      <c r="C391" s="282">
        <v>1</v>
      </c>
      <c r="D391" s="283"/>
      <c r="E391" s="282">
        <v>1</v>
      </c>
      <c r="F391" s="282">
        <v>35.1</v>
      </c>
      <c r="G391" s="282">
        <f t="shared" si="30"/>
        <v>34</v>
      </c>
      <c r="H391" s="282">
        <f t="shared" si="31"/>
        <v>3695.7135457135482</v>
      </c>
      <c r="I391" s="282">
        <f t="shared" si="32"/>
        <v>10809.962121212129</v>
      </c>
      <c r="J391" s="282">
        <f t="shared" si="33"/>
        <v>129719.54545454556</v>
      </c>
      <c r="K391" s="282"/>
      <c r="L391" s="240">
        <f t="shared" si="34"/>
        <v>7020</v>
      </c>
      <c r="M391" s="282"/>
      <c r="N391" s="231"/>
    </row>
    <row r="392" spans="2:14" x14ac:dyDescent="0.2">
      <c r="B392" s="281"/>
      <c r="C392" s="282">
        <v>1</v>
      </c>
      <c r="D392" s="283"/>
      <c r="E392" s="282">
        <v>1</v>
      </c>
      <c r="F392" s="282">
        <v>45.1</v>
      </c>
      <c r="G392" s="282">
        <f t="shared" si="30"/>
        <v>34</v>
      </c>
      <c r="H392" s="282">
        <f t="shared" si="31"/>
        <v>3292.5115904051627</v>
      </c>
      <c r="I392" s="282">
        <f t="shared" si="32"/>
        <v>12374.356060606071</v>
      </c>
      <c r="J392" s="282">
        <f t="shared" si="33"/>
        <v>148492.27272727285</v>
      </c>
      <c r="K392" s="282"/>
      <c r="L392" s="240">
        <f t="shared" si="34"/>
        <v>9020</v>
      </c>
      <c r="M392" s="282"/>
      <c r="N392" s="231"/>
    </row>
    <row r="393" spans="2:14" x14ac:dyDescent="0.2">
      <c r="B393" s="281"/>
      <c r="C393" s="282">
        <v>1</v>
      </c>
      <c r="D393" s="283"/>
      <c r="E393" s="282">
        <v>2</v>
      </c>
      <c r="F393" s="282">
        <v>35.5</v>
      </c>
      <c r="G393" s="282">
        <f t="shared" si="30"/>
        <v>40</v>
      </c>
      <c r="H393" s="282">
        <f t="shared" si="31"/>
        <v>3992.5096030729869</v>
      </c>
      <c r="I393" s="282">
        <f t="shared" si="32"/>
        <v>11811.174242424253</v>
      </c>
      <c r="J393" s="282">
        <f t="shared" si="33"/>
        <v>141734.09090909103</v>
      </c>
      <c r="K393" s="282"/>
      <c r="L393" s="240">
        <f t="shared" si="34"/>
        <v>7100</v>
      </c>
      <c r="M393" s="282"/>
      <c r="N393" s="231"/>
    </row>
    <row r="394" spans="2:14" x14ac:dyDescent="0.2">
      <c r="B394" s="281"/>
      <c r="C394" s="282">
        <v>1</v>
      </c>
      <c r="D394" s="283"/>
      <c r="E394" s="282">
        <v>3</v>
      </c>
      <c r="F394" s="282">
        <v>49</v>
      </c>
      <c r="G394" s="282">
        <f t="shared" si="30"/>
        <v>44</v>
      </c>
      <c r="H394" s="282">
        <f t="shared" si="31"/>
        <v>3562.987012987016</v>
      </c>
      <c r="I394" s="282">
        <f t="shared" si="32"/>
        <v>14548.863636363649</v>
      </c>
      <c r="J394" s="282">
        <f t="shared" si="33"/>
        <v>174586.36363636379</v>
      </c>
      <c r="K394" s="282"/>
      <c r="L394" s="240">
        <f t="shared" si="34"/>
        <v>9800</v>
      </c>
      <c r="M394" s="282"/>
      <c r="N394" s="231"/>
    </row>
    <row r="395" spans="2:14" x14ac:dyDescent="0.2">
      <c r="B395" s="281"/>
      <c r="C395" s="282">
        <v>1</v>
      </c>
      <c r="D395" s="283"/>
      <c r="E395" s="282">
        <v>1</v>
      </c>
      <c r="F395" s="282">
        <v>26.9</v>
      </c>
      <c r="G395" s="282">
        <f t="shared" si="30"/>
        <v>34</v>
      </c>
      <c r="H395" s="282">
        <f t="shared" si="31"/>
        <v>4250.033795201085</v>
      </c>
      <c r="I395" s="282">
        <f t="shared" si="32"/>
        <v>9527.1590909090974</v>
      </c>
      <c r="J395" s="282">
        <f t="shared" si="33"/>
        <v>114325.90909090918</v>
      </c>
      <c r="K395" s="282"/>
      <c r="L395" s="240">
        <f t="shared" si="34"/>
        <v>5380</v>
      </c>
      <c r="M395" s="282"/>
      <c r="N395" s="231"/>
    </row>
    <row r="396" spans="2:14" x14ac:dyDescent="0.2">
      <c r="B396" s="281"/>
      <c r="C396" s="282">
        <v>1</v>
      </c>
      <c r="D396" s="283"/>
      <c r="E396" s="282">
        <v>1</v>
      </c>
      <c r="F396" s="282">
        <v>27.9</v>
      </c>
      <c r="G396" s="282">
        <f t="shared" si="30"/>
        <v>34</v>
      </c>
      <c r="H396" s="282">
        <f t="shared" si="31"/>
        <v>4164.9885956337612</v>
      </c>
      <c r="I396" s="282">
        <f t="shared" si="32"/>
        <v>9683.5984848484932</v>
      </c>
      <c r="J396" s="282">
        <f t="shared" si="33"/>
        <v>116203.18181818191</v>
      </c>
      <c r="K396" s="282"/>
      <c r="L396" s="240">
        <f t="shared" si="34"/>
        <v>5580</v>
      </c>
      <c r="M396" s="282"/>
      <c r="N396" s="231"/>
    </row>
    <row r="397" spans="2:14" x14ac:dyDescent="0.2">
      <c r="B397" s="281"/>
      <c r="C397" s="282">
        <v>1</v>
      </c>
      <c r="D397" s="283"/>
      <c r="E397" s="282">
        <v>2</v>
      </c>
      <c r="F397" s="282">
        <v>38.1</v>
      </c>
      <c r="G397" s="282">
        <f t="shared" si="30"/>
        <v>40</v>
      </c>
      <c r="H397" s="282">
        <f t="shared" si="31"/>
        <v>3848.1627296587953</v>
      </c>
      <c r="I397" s="282">
        <f t="shared" si="32"/>
        <v>12217.916666666677</v>
      </c>
      <c r="J397" s="282">
        <f t="shared" si="33"/>
        <v>146615.00000000012</v>
      </c>
      <c r="K397" s="282"/>
      <c r="L397" s="240">
        <f t="shared" si="34"/>
        <v>7620</v>
      </c>
      <c r="M397" s="282"/>
      <c r="N397" s="231"/>
    </row>
    <row r="398" spans="2:14" x14ac:dyDescent="0.2">
      <c r="B398" s="281"/>
      <c r="C398" s="282">
        <v>1</v>
      </c>
      <c r="D398" s="283"/>
      <c r="E398" s="282">
        <v>2</v>
      </c>
      <c r="F398" s="282">
        <v>54.8</v>
      </c>
      <c r="G398" s="282">
        <f t="shared" si="30"/>
        <v>40</v>
      </c>
      <c r="H398" s="282">
        <f t="shared" si="31"/>
        <v>3247.5447909754512</v>
      </c>
      <c r="I398" s="282">
        <f t="shared" si="32"/>
        <v>14830.454545454559</v>
      </c>
      <c r="J398" s="282">
        <f t="shared" si="33"/>
        <v>177965.4545454547</v>
      </c>
      <c r="K398" s="282"/>
      <c r="L398" s="240">
        <f t="shared" si="34"/>
        <v>10960</v>
      </c>
      <c r="M398" s="282"/>
      <c r="N398" s="231"/>
    </row>
    <row r="399" spans="2:14" x14ac:dyDescent="0.2">
      <c r="B399" s="281"/>
      <c r="C399" s="282">
        <v>1</v>
      </c>
      <c r="D399" s="283"/>
      <c r="E399" s="282">
        <v>4</v>
      </c>
      <c r="F399" s="282">
        <v>70.400000000000006</v>
      </c>
      <c r="G399" s="282">
        <f t="shared" si="30"/>
        <v>49</v>
      </c>
      <c r="H399" s="282">
        <f t="shared" si="31"/>
        <v>3183.897210743804</v>
      </c>
      <c r="I399" s="282">
        <f t="shared" si="32"/>
        <v>18678.863636363651</v>
      </c>
      <c r="J399" s="282">
        <f t="shared" si="33"/>
        <v>224146.36363636382</v>
      </c>
      <c r="K399" s="282"/>
      <c r="L399" s="240">
        <f t="shared" si="34"/>
        <v>14080.000000000002</v>
      </c>
      <c r="M399" s="282"/>
      <c r="N399" s="231"/>
    </row>
    <row r="400" spans="2:14" x14ac:dyDescent="0.2">
      <c r="B400" s="281"/>
      <c r="C400" s="282">
        <v>1</v>
      </c>
      <c r="D400" s="283"/>
      <c r="E400" s="282">
        <v>1</v>
      </c>
      <c r="F400" s="282">
        <v>26.9</v>
      </c>
      <c r="G400" s="282">
        <f t="shared" si="30"/>
        <v>34</v>
      </c>
      <c r="H400" s="282">
        <f t="shared" si="31"/>
        <v>4250.033795201085</v>
      </c>
      <c r="I400" s="282">
        <f t="shared" si="32"/>
        <v>9527.1590909090974</v>
      </c>
      <c r="J400" s="282">
        <f t="shared" si="33"/>
        <v>114325.90909090918</v>
      </c>
      <c r="K400" s="282"/>
      <c r="L400" s="240">
        <f t="shared" si="34"/>
        <v>5380</v>
      </c>
      <c r="M400" s="282"/>
      <c r="N400" s="231"/>
    </row>
    <row r="401" spans="2:14" x14ac:dyDescent="0.2">
      <c r="B401" s="281"/>
      <c r="C401" s="282">
        <v>1</v>
      </c>
      <c r="D401" s="283"/>
      <c r="E401" s="282">
        <v>1</v>
      </c>
      <c r="F401" s="282">
        <v>27.9</v>
      </c>
      <c r="G401" s="282">
        <f t="shared" si="30"/>
        <v>34</v>
      </c>
      <c r="H401" s="282">
        <f t="shared" si="31"/>
        <v>4164.9885956337612</v>
      </c>
      <c r="I401" s="282">
        <f t="shared" si="32"/>
        <v>9683.5984848484932</v>
      </c>
      <c r="J401" s="282">
        <f t="shared" si="33"/>
        <v>116203.18181818191</v>
      </c>
      <c r="K401" s="282"/>
      <c r="L401" s="240">
        <f t="shared" si="34"/>
        <v>5580</v>
      </c>
      <c r="M401" s="282"/>
      <c r="N401" s="231"/>
    </row>
    <row r="402" spans="2:14" x14ac:dyDescent="0.2">
      <c r="B402" s="281"/>
      <c r="C402" s="282">
        <v>1</v>
      </c>
      <c r="D402" s="283"/>
      <c r="E402" s="282">
        <v>1</v>
      </c>
      <c r="F402" s="282">
        <v>28.2</v>
      </c>
      <c r="G402" s="282">
        <f t="shared" si="30"/>
        <v>34</v>
      </c>
      <c r="H402" s="282">
        <f t="shared" si="31"/>
        <v>4140.6511927788561</v>
      </c>
      <c r="I402" s="282">
        <f t="shared" si="32"/>
        <v>9730.5303030303112</v>
      </c>
      <c r="J402" s="282">
        <f t="shared" si="33"/>
        <v>116766.36363636373</v>
      </c>
      <c r="K402" s="282"/>
      <c r="L402" s="240">
        <f t="shared" si="34"/>
        <v>5640</v>
      </c>
      <c r="M402" s="282"/>
      <c r="N402" s="231"/>
    </row>
    <row r="403" spans="2:14" x14ac:dyDescent="0.2">
      <c r="B403" s="281"/>
      <c r="C403" s="282">
        <v>1</v>
      </c>
      <c r="D403" s="283"/>
      <c r="E403" s="282">
        <v>1</v>
      </c>
      <c r="F403" s="282">
        <v>30.3</v>
      </c>
      <c r="G403" s="282">
        <f t="shared" si="30"/>
        <v>34</v>
      </c>
      <c r="H403" s="282">
        <f t="shared" si="31"/>
        <v>3983.7833783378373</v>
      </c>
      <c r="I403" s="282">
        <f t="shared" si="32"/>
        <v>10059.053030303039</v>
      </c>
      <c r="J403" s="282">
        <f t="shared" si="33"/>
        <v>120708.63636363647</v>
      </c>
      <c r="K403" s="282"/>
      <c r="L403" s="240">
        <f t="shared" si="34"/>
        <v>6060</v>
      </c>
      <c r="M403" s="282"/>
      <c r="N403" s="231"/>
    </row>
    <row r="404" spans="2:14" x14ac:dyDescent="0.2">
      <c r="B404" s="281"/>
      <c r="C404" s="282">
        <v>1</v>
      </c>
      <c r="D404" s="283"/>
      <c r="E404" s="282">
        <v>2</v>
      </c>
      <c r="F404" s="282">
        <v>38.1</v>
      </c>
      <c r="G404" s="282">
        <f t="shared" si="30"/>
        <v>40</v>
      </c>
      <c r="H404" s="282">
        <f t="shared" si="31"/>
        <v>3848.1627296587953</v>
      </c>
      <c r="I404" s="282">
        <f t="shared" si="32"/>
        <v>12217.916666666677</v>
      </c>
      <c r="J404" s="282">
        <f t="shared" si="33"/>
        <v>146615.00000000012</v>
      </c>
      <c r="K404" s="282"/>
      <c r="L404" s="240">
        <f t="shared" si="34"/>
        <v>7620</v>
      </c>
      <c r="M404" s="282"/>
      <c r="N404" s="231"/>
    </row>
    <row r="405" spans="2:14" x14ac:dyDescent="0.2">
      <c r="B405" s="281"/>
      <c r="C405" s="282">
        <v>1</v>
      </c>
      <c r="D405" s="283"/>
      <c r="E405" s="282">
        <v>2</v>
      </c>
      <c r="F405" s="282">
        <v>45</v>
      </c>
      <c r="G405" s="282">
        <f t="shared" si="30"/>
        <v>40</v>
      </c>
      <c r="H405" s="282">
        <f t="shared" si="31"/>
        <v>3545.9595959595995</v>
      </c>
      <c r="I405" s="282">
        <f t="shared" si="32"/>
        <v>13297.348484848497</v>
      </c>
      <c r="J405" s="282">
        <f t="shared" si="33"/>
        <v>159568.18181818197</v>
      </c>
      <c r="K405" s="282"/>
      <c r="L405" s="240">
        <f t="shared" si="34"/>
        <v>9000</v>
      </c>
      <c r="M405" s="282"/>
      <c r="N405" s="231"/>
    </row>
    <row r="406" spans="2:14" x14ac:dyDescent="0.2">
      <c r="B406" s="281"/>
      <c r="C406" s="282">
        <v>1</v>
      </c>
      <c r="D406" s="283"/>
      <c r="E406" s="282">
        <v>4</v>
      </c>
      <c r="F406" s="282">
        <v>70.400000000000006</v>
      </c>
      <c r="G406" s="282">
        <f t="shared" si="30"/>
        <v>49</v>
      </c>
      <c r="H406" s="282">
        <f t="shared" si="31"/>
        <v>3183.897210743804</v>
      </c>
      <c r="I406" s="282">
        <f t="shared" si="32"/>
        <v>18678.863636363651</v>
      </c>
      <c r="J406" s="282">
        <f t="shared" si="33"/>
        <v>224146.36363636382</v>
      </c>
      <c r="K406" s="282"/>
      <c r="L406" s="240">
        <f t="shared" si="34"/>
        <v>14080.000000000002</v>
      </c>
      <c r="M406" s="282"/>
      <c r="N406" s="231"/>
    </row>
    <row r="407" spans="2:14" x14ac:dyDescent="0.2">
      <c r="B407" s="281"/>
      <c r="C407" s="282">
        <v>1</v>
      </c>
      <c r="D407" s="283"/>
      <c r="E407" s="282">
        <v>1</v>
      </c>
      <c r="F407" s="282">
        <v>26.9</v>
      </c>
      <c r="G407" s="282">
        <f t="shared" si="30"/>
        <v>34</v>
      </c>
      <c r="H407" s="282">
        <f t="shared" si="31"/>
        <v>4250.033795201085</v>
      </c>
      <c r="I407" s="282">
        <f t="shared" si="32"/>
        <v>9527.1590909090974</v>
      </c>
      <c r="J407" s="282">
        <f t="shared" si="33"/>
        <v>114325.90909090918</v>
      </c>
      <c r="K407" s="282"/>
      <c r="L407" s="240">
        <f t="shared" si="34"/>
        <v>5380</v>
      </c>
      <c r="M407" s="282"/>
      <c r="N407" s="231"/>
    </row>
    <row r="408" spans="2:14" x14ac:dyDescent="0.2">
      <c r="B408" s="281"/>
      <c r="C408" s="282">
        <v>1</v>
      </c>
      <c r="D408" s="283"/>
      <c r="E408" s="282">
        <v>1</v>
      </c>
      <c r="F408" s="282">
        <v>27.9</v>
      </c>
      <c r="G408" s="282">
        <f t="shared" si="30"/>
        <v>34</v>
      </c>
      <c r="H408" s="282">
        <f t="shared" si="31"/>
        <v>4164.9885956337612</v>
      </c>
      <c r="I408" s="282">
        <f t="shared" si="32"/>
        <v>9683.5984848484932</v>
      </c>
      <c r="J408" s="282">
        <f t="shared" si="33"/>
        <v>116203.18181818191</v>
      </c>
      <c r="K408" s="282"/>
      <c r="L408" s="240">
        <f t="shared" si="34"/>
        <v>5580</v>
      </c>
      <c r="M408" s="282"/>
      <c r="N408" s="231"/>
    </row>
    <row r="409" spans="2:14" x14ac:dyDescent="0.2">
      <c r="B409" s="281"/>
      <c r="C409" s="282">
        <v>1</v>
      </c>
      <c r="D409" s="283"/>
      <c r="E409" s="282">
        <v>1</v>
      </c>
      <c r="F409" s="282">
        <v>28.2</v>
      </c>
      <c r="G409" s="282">
        <f t="shared" si="30"/>
        <v>34</v>
      </c>
      <c r="H409" s="282">
        <f t="shared" si="31"/>
        <v>4140.6511927788561</v>
      </c>
      <c r="I409" s="282">
        <f t="shared" si="32"/>
        <v>9730.5303030303112</v>
      </c>
      <c r="J409" s="282">
        <f t="shared" si="33"/>
        <v>116766.36363636373</v>
      </c>
      <c r="K409" s="282"/>
      <c r="L409" s="240">
        <f t="shared" si="34"/>
        <v>5640</v>
      </c>
      <c r="M409" s="282"/>
      <c r="N409" s="231"/>
    </row>
    <row r="410" spans="2:14" x14ac:dyDescent="0.2">
      <c r="B410" s="281"/>
      <c r="C410" s="282">
        <v>1</v>
      </c>
      <c r="D410" s="283"/>
      <c r="E410" s="282">
        <v>1</v>
      </c>
      <c r="F410" s="282">
        <v>30.3</v>
      </c>
      <c r="G410" s="282">
        <f t="shared" si="30"/>
        <v>34</v>
      </c>
      <c r="H410" s="282">
        <f t="shared" si="31"/>
        <v>3983.7833783378373</v>
      </c>
      <c r="I410" s="282">
        <f t="shared" si="32"/>
        <v>10059.053030303039</v>
      </c>
      <c r="J410" s="282">
        <f t="shared" si="33"/>
        <v>120708.63636363647</v>
      </c>
      <c r="K410" s="282"/>
      <c r="L410" s="240">
        <f t="shared" si="34"/>
        <v>6060</v>
      </c>
      <c r="M410" s="282"/>
      <c r="N410" s="231"/>
    </row>
    <row r="411" spans="2:14" x14ac:dyDescent="0.2">
      <c r="B411" s="281"/>
      <c r="C411" s="282">
        <v>1</v>
      </c>
      <c r="D411" s="283"/>
      <c r="E411" s="282">
        <v>2</v>
      </c>
      <c r="F411" s="282">
        <v>38.1</v>
      </c>
      <c r="G411" s="282">
        <f t="shared" si="30"/>
        <v>40</v>
      </c>
      <c r="H411" s="282">
        <f t="shared" si="31"/>
        <v>3848.1627296587953</v>
      </c>
      <c r="I411" s="282">
        <f t="shared" si="32"/>
        <v>12217.916666666677</v>
      </c>
      <c r="J411" s="282">
        <f t="shared" si="33"/>
        <v>146615.00000000012</v>
      </c>
      <c r="K411" s="282"/>
      <c r="L411" s="240">
        <f t="shared" si="34"/>
        <v>7620</v>
      </c>
      <c r="M411" s="282"/>
      <c r="N411" s="231"/>
    </row>
    <row r="412" spans="2:14" x14ac:dyDescent="0.2">
      <c r="B412" s="281"/>
      <c r="C412" s="282">
        <v>1</v>
      </c>
      <c r="D412" s="283"/>
      <c r="E412" s="282">
        <v>2</v>
      </c>
      <c r="F412" s="282">
        <v>45</v>
      </c>
      <c r="G412" s="282">
        <f t="shared" si="30"/>
        <v>40</v>
      </c>
      <c r="H412" s="282">
        <f t="shared" si="31"/>
        <v>3545.9595959595995</v>
      </c>
      <c r="I412" s="282">
        <f t="shared" si="32"/>
        <v>13297.348484848497</v>
      </c>
      <c r="J412" s="282">
        <f t="shared" si="33"/>
        <v>159568.18181818197</v>
      </c>
      <c r="K412" s="282"/>
      <c r="L412" s="240">
        <f t="shared" si="34"/>
        <v>9000</v>
      </c>
      <c r="M412" s="282"/>
      <c r="N412" s="231"/>
    </row>
    <row r="413" spans="2:14" x14ac:dyDescent="0.2">
      <c r="B413" s="281"/>
      <c r="C413" s="282">
        <v>1</v>
      </c>
      <c r="D413" s="283"/>
      <c r="E413" s="282">
        <v>4</v>
      </c>
      <c r="F413" s="282">
        <v>70.400000000000006</v>
      </c>
      <c r="G413" s="282">
        <f t="shared" ref="G413:G442" si="35">IF(E413=1,34,IF(E413=2,40,IF(E413=3,44,IF(E413=4,49,IF(E413=5,52,IF(E413=6,55,IF(E413=1.5,27,IF(E413=2.5,34))))))))</f>
        <v>49</v>
      </c>
      <c r="H413" s="282">
        <f t="shared" ref="H413:H442" si="36">+$H$3*(F413+G413)/(1.57142857142857)/F413</f>
        <v>3183.897210743804</v>
      </c>
      <c r="I413" s="282">
        <f t="shared" ref="I413:I442" si="37">+F413*H413/12</f>
        <v>18678.863636363651</v>
      </c>
      <c r="J413" s="282">
        <f t="shared" si="33"/>
        <v>224146.36363636382</v>
      </c>
      <c r="K413" s="282"/>
      <c r="L413" s="240">
        <f t="shared" si="34"/>
        <v>14080.000000000002</v>
      </c>
      <c r="M413" s="282"/>
      <c r="N413" s="231"/>
    </row>
    <row r="414" spans="2:14" x14ac:dyDescent="0.2">
      <c r="B414" s="281"/>
      <c r="C414" s="282">
        <v>1</v>
      </c>
      <c r="D414" s="283"/>
      <c r="E414" s="282">
        <v>1</v>
      </c>
      <c r="F414" s="282">
        <v>26.9</v>
      </c>
      <c r="G414" s="282">
        <f t="shared" si="35"/>
        <v>34</v>
      </c>
      <c r="H414" s="282">
        <f t="shared" si="36"/>
        <v>4250.033795201085</v>
      </c>
      <c r="I414" s="282">
        <f t="shared" si="37"/>
        <v>9527.1590909090974</v>
      </c>
      <c r="J414" s="282">
        <f t="shared" ref="J414:J442" si="38">+I414*12</f>
        <v>114325.90909090918</v>
      </c>
      <c r="K414" s="282"/>
      <c r="L414" s="240">
        <f t="shared" ref="L414:L442" si="39">F414*$H$4</f>
        <v>5380</v>
      </c>
      <c r="M414" s="282"/>
      <c r="N414" s="231"/>
    </row>
    <row r="415" spans="2:14" x14ac:dyDescent="0.2">
      <c r="B415" s="281"/>
      <c r="C415" s="282">
        <v>1</v>
      </c>
      <c r="D415" s="283"/>
      <c r="E415" s="282">
        <v>1</v>
      </c>
      <c r="F415" s="282">
        <v>27.9</v>
      </c>
      <c r="G415" s="282">
        <f t="shared" si="35"/>
        <v>34</v>
      </c>
      <c r="H415" s="282">
        <f t="shared" si="36"/>
        <v>4164.9885956337612</v>
      </c>
      <c r="I415" s="282">
        <f t="shared" si="37"/>
        <v>9683.5984848484932</v>
      </c>
      <c r="J415" s="282">
        <f t="shared" si="38"/>
        <v>116203.18181818191</v>
      </c>
      <c r="K415" s="282"/>
      <c r="L415" s="240">
        <f t="shared" si="39"/>
        <v>5580</v>
      </c>
      <c r="M415" s="282"/>
      <c r="N415" s="231"/>
    </row>
    <row r="416" spans="2:14" x14ac:dyDescent="0.2">
      <c r="B416" s="281"/>
      <c r="C416" s="282">
        <v>1</v>
      </c>
      <c r="D416" s="283"/>
      <c r="E416" s="282">
        <v>1</v>
      </c>
      <c r="F416" s="282">
        <v>28.2</v>
      </c>
      <c r="G416" s="282">
        <f t="shared" si="35"/>
        <v>34</v>
      </c>
      <c r="H416" s="282">
        <f t="shared" si="36"/>
        <v>4140.6511927788561</v>
      </c>
      <c r="I416" s="282">
        <f t="shared" si="37"/>
        <v>9730.5303030303112</v>
      </c>
      <c r="J416" s="282">
        <f t="shared" si="38"/>
        <v>116766.36363636373</v>
      </c>
      <c r="K416" s="282"/>
      <c r="L416" s="240">
        <f t="shared" si="39"/>
        <v>5640</v>
      </c>
      <c r="M416" s="282"/>
      <c r="N416" s="231"/>
    </row>
    <row r="417" spans="2:14" x14ac:dyDescent="0.2">
      <c r="B417" s="281"/>
      <c r="C417" s="282">
        <v>1</v>
      </c>
      <c r="D417" s="283"/>
      <c r="E417" s="282">
        <v>1</v>
      </c>
      <c r="F417" s="282">
        <v>30.3</v>
      </c>
      <c r="G417" s="282">
        <f t="shared" si="35"/>
        <v>34</v>
      </c>
      <c r="H417" s="282">
        <f t="shared" si="36"/>
        <v>3983.7833783378373</v>
      </c>
      <c r="I417" s="282">
        <f t="shared" si="37"/>
        <v>10059.053030303039</v>
      </c>
      <c r="J417" s="282">
        <f t="shared" si="38"/>
        <v>120708.63636363647</v>
      </c>
      <c r="K417" s="282"/>
      <c r="L417" s="240">
        <f t="shared" si="39"/>
        <v>6060</v>
      </c>
      <c r="M417" s="282"/>
      <c r="N417" s="231"/>
    </row>
    <row r="418" spans="2:14" x14ac:dyDescent="0.2">
      <c r="B418" s="281"/>
      <c r="C418" s="282">
        <v>1</v>
      </c>
      <c r="D418" s="283"/>
      <c r="E418" s="282">
        <v>2</v>
      </c>
      <c r="F418" s="282">
        <v>38.1</v>
      </c>
      <c r="G418" s="282">
        <f t="shared" si="35"/>
        <v>40</v>
      </c>
      <c r="H418" s="282">
        <f t="shared" si="36"/>
        <v>3848.1627296587953</v>
      </c>
      <c r="I418" s="282">
        <f t="shared" si="37"/>
        <v>12217.916666666677</v>
      </c>
      <c r="J418" s="282">
        <f t="shared" si="38"/>
        <v>146615.00000000012</v>
      </c>
      <c r="K418" s="282"/>
      <c r="L418" s="240">
        <f t="shared" si="39"/>
        <v>7620</v>
      </c>
      <c r="M418" s="282"/>
      <c r="N418" s="231"/>
    </row>
    <row r="419" spans="2:14" x14ac:dyDescent="0.2">
      <c r="B419" s="281"/>
      <c r="C419" s="282">
        <v>1</v>
      </c>
      <c r="D419" s="283"/>
      <c r="E419" s="282">
        <v>2</v>
      </c>
      <c r="F419" s="282">
        <v>45</v>
      </c>
      <c r="G419" s="282">
        <f t="shared" si="35"/>
        <v>40</v>
      </c>
      <c r="H419" s="282">
        <f t="shared" si="36"/>
        <v>3545.9595959595995</v>
      </c>
      <c r="I419" s="282">
        <f t="shared" si="37"/>
        <v>13297.348484848497</v>
      </c>
      <c r="J419" s="282">
        <f t="shared" si="38"/>
        <v>159568.18181818197</v>
      </c>
      <c r="K419" s="282"/>
      <c r="L419" s="240">
        <f t="shared" si="39"/>
        <v>9000</v>
      </c>
      <c r="M419" s="282"/>
      <c r="N419" s="231"/>
    </row>
    <row r="420" spans="2:14" x14ac:dyDescent="0.2">
      <c r="B420" s="281"/>
      <c r="C420" s="282">
        <v>1</v>
      </c>
      <c r="D420" s="283"/>
      <c r="E420" s="282">
        <v>4</v>
      </c>
      <c r="F420" s="282">
        <v>70.400000000000006</v>
      </c>
      <c r="G420" s="282">
        <f t="shared" si="35"/>
        <v>49</v>
      </c>
      <c r="H420" s="282">
        <f t="shared" si="36"/>
        <v>3183.897210743804</v>
      </c>
      <c r="I420" s="282">
        <f t="shared" si="37"/>
        <v>18678.863636363651</v>
      </c>
      <c r="J420" s="282">
        <f t="shared" si="38"/>
        <v>224146.36363636382</v>
      </c>
      <c r="K420" s="282"/>
      <c r="L420" s="240">
        <f t="shared" si="39"/>
        <v>14080.000000000002</v>
      </c>
      <c r="M420" s="282"/>
      <c r="N420" s="231"/>
    </row>
    <row r="421" spans="2:14" x14ac:dyDescent="0.2">
      <c r="B421" s="281"/>
      <c r="C421" s="282">
        <v>1</v>
      </c>
      <c r="D421" s="283"/>
      <c r="E421" s="282">
        <v>1</v>
      </c>
      <c r="F421" s="282">
        <v>26.9</v>
      </c>
      <c r="G421" s="282">
        <f t="shared" si="35"/>
        <v>34</v>
      </c>
      <c r="H421" s="282">
        <f t="shared" si="36"/>
        <v>4250.033795201085</v>
      </c>
      <c r="I421" s="282">
        <f t="shared" si="37"/>
        <v>9527.1590909090974</v>
      </c>
      <c r="J421" s="282">
        <f t="shared" si="38"/>
        <v>114325.90909090918</v>
      </c>
      <c r="K421" s="282"/>
      <c r="L421" s="240">
        <f t="shared" si="39"/>
        <v>5380</v>
      </c>
      <c r="M421" s="282"/>
      <c r="N421" s="231"/>
    </row>
    <row r="422" spans="2:14" x14ac:dyDescent="0.2">
      <c r="B422" s="281"/>
      <c r="C422" s="282">
        <v>1</v>
      </c>
      <c r="D422" s="283"/>
      <c r="E422" s="282">
        <v>1</v>
      </c>
      <c r="F422" s="282">
        <v>27.9</v>
      </c>
      <c r="G422" s="282">
        <f t="shared" si="35"/>
        <v>34</v>
      </c>
      <c r="H422" s="282">
        <f t="shared" si="36"/>
        <v>4164.9885956337612</v>
      </c>
      <c r="I422" s="282">
        <f t="shared" si="37"/>
        <v>9683.5984848484932</v>
      </c>
      <c r="J422" s="282">
        <f t="shared" si="38"/>
        <v>116203.18181818191</v>
      </c>
      <c r="K422" s="282"/>
      <c r="L422" s="240">
        <f t="shared" si="39"/>
        <v>5580</v>
      </c>
      <c r="M422" s="282"/>
      <c r="N422" s="231"/>
    </row>
    <row r="423" spans="2:14" x14ac:dyDescent="0.2">
      <c r="B423" s="281"/>
      <c r="C423" s="282">
        <v>1</v>
      </c>
      <c r="D423" s="283"/>
      <c r="E423" s="282">
        <v>1</v>
      </c>
      <c r="F423" s="282">
        <v>28.2</v>
      </c>
      <c r="G423" s="282">
        <f t="shared" si="35"/>
        <v>34</v>
      </c>
      <c r="H423" s="282">
        <f t="shared" si="36"/>
        <v>4140.6511927788561</v>
      </c>
      <c r="I423" s="282">
        <f t="shared" si="37"/>
        <v>9730.5303030303112</v>
      </c>
      <c r="J423" s="282">
        <f t="shared" si="38"/>
        <v>116766.36363636373</v>
      </c>
      <c r="K423" s="282"/>
      <c r="L423" s="240">
        <f t="shared" si="39"/>
        <v>5640</v>
      </c>
      <c r="M423" s="282"/>
      <c r="N423" s="231"/>
    </row>
    <row r="424" spans="2:14" x14ac:dyDescent="0.2">
      <c r="B424" s="281"/>
      <c r="C424" s="282">
        <v>1</v>
      </c>
      <c r="D424" s="283"/>
      <c r="E424" s="282">
        <v>1</v>
      </c>
      <c r="F424" s="282">
        <v>30.3</v>
      </c>
      <c r="G424" s="282">
        <f t="shared" si="35"/>
        <v>34</v>
      </c>
      <c r="H424" s="282">
        <f t="shared" si="36"/>
        <v>3983.7833783378373</v>
      </c>
      <c r="I424" s="282">
        <f t="shared" si="37"/>
        <v>10059.053030303039</v>
      </c>
      <c r="J424" s="282">
        <f t="shared" si="38"/>
        <v>120708.63636363647</v>
      </c>
      <c r="K424" s="282"/>
      <c r="L424" s="240">
        <f t="shared" si="39"/>
        <v>6060</v>
      </c>
      <c r="M424" s="282"/>
      <c r="N424" s="231"/>
    </row>
    <row r="425" spans="2:14" x14ac:dyDescent="0.2">
      <c r="B425" s="281"/>
      <c r="C425" s="282">
        <v>1</v>
      </c>
      <c r="D425" s="283"/>
      <c r="E425" s="282">
        <v>2</v>
      </c>
      <c r="F425" s="282">
        <v>38.1</v>
      </c>
      <c r="G425" s="282">
        <f t="shared" si="35"/>
        <v>40</v>
      </c>
      <c r="H425" s="282">
        <f t="shared" si="36"/>
        <v>3848.1627296587953</v>
      </c>
      <c r="I425" s="282">
        <f t="shared" si="37"/>
        <v>12217.916666666677</v>
      </c>
      <c r="J425" s="282">
        <f t="shared" si="38"/>
        <v>146615.00000000012</v>
      </c>
      <c r="K425" s="282"/>
      <c r="L425" s="240">
        <f t="shared" si="39"/>
        <v>7620</v>
      </c>
      <c r="M425" s="282"/>
      <c r="N425" s="231"/>
    </row>
    <row r="426" spans="2:14" x14ac:dyDescent="0.2">
      <c r="B426" s="281"/>
      <c r="C426" s="282">
        <v>1</v>
      </c>
      <c r="D426" s="283"/>
      <c r="E426" s="282">
        <v>2</v>
      </c>
      <c r="F426" s="282">
        <v>45</v>
      </c>
      <c r="G426" s="282">
        <f t="shared" si="35"/>
        <v>40</v>
      </c>
      <c r="H426" s="282">
        <f t="shared" si="36"/>
        <v>3545.9595959595995</v>
      </c>
      <c r="I426" s="282">
        <f t="shared" si="37"/>
        <v>13297.348484848497</v>
      </c>
      <c r="J426" s="282">
        <f t="shared" si="38"/>
        <v>159568.18181818197</v>
      </c>
      <c r="K426" s="282"/>
      <c r="L426" s="240">
        <f t="shared" si="39"/>
        <v>9000</v>
      </c>
      <c r="M426" s="282"/>
      <c r="N426" s="231"/>
    </row>
    <row r="427" spans="2:14" x14ac:dyDescent="0.2">
      <c r="B427" s="281"/>
      <c r="C427" s="282">
        <v>1</v>
      </c>
      <c r="D427" s="283"/>
      <c r="E427" s="282">
        <v>4</v>
      </c>
      <c r="F427" s="282">
        <v>70.400000000000006</v>
      </c>
      <c r="G427" s="282">
        <f t="shared" si="35"/>
        <v>49</v>
      </c>
      <c r="H427" s="282">
        <f t="shared" si="36"/>
        <v>3183.897210743804</v>
      </c>
      <c r="I427" s="282">
        <f t="shared" si="37"/>
        <v>18678.863636363651</v>
      </c>
      <c r="J427" s="282">
        <f t="shared" si="38"/>
        <v>224146.36363636382</v>
      </c>
      <c r="K427" s="282"/>
      <c r="L427" s="240">
        <f t="shared" si="39"/>
        <v>14080.000000000002</v>
      </c>
      <c r="M427" s="282"/>
      <c r="N427" s="231"/>
    </row>
    <row r="428" spans="2:14" x14ac:dyDescent="0.2">
      <c r="B428" s="281"/>
      <c r="C428" s="282">
        <v>1</v>
      </c>
      <c r="D428" s="283"/>
      <c r="E428" s="282">
        <v>1</v>
      </c>
      <c r="F428" s="282">
        <v>26.9</v>
      </c>
      <c r="G428" s="282">
        <f t="shared" si="35"/>
        <v>34</v>
      </c>
      <c r="H428" s="282">
        <f t="shared" si="36"/>
        <v>4250.033795201085</v>
      </c>
      <c r="I428" s="282">
        <f t="shared" si="37"/>
        <v>9527.1590909090974</v>
      </c>
      <c r="J428" s="282">
        <f t="shared" si="38"/>
        <v>114325.90909090918</v>
      </c>
      <c r="K428" s="282"/>
      <c r="L428" s="240">
        <f t="shared" si="39"/>
        <v>5380</v>
      </c>
      <c r="M428" s="282"/>
      <c r="N428" s="231"/>
    </row>
    <row r="429" spans="2:14" x14ac:dyDescent="0.2">
      <c r="B429" s="281"/>
      <c r="C429" s="282">
        <v>1</v>
      </c>
      <c r="D429" s="283"/>
      <c r="E429" s="282">
        <v>1</v>
      </c>
      <c r="F429" s="282">
        <v>27.9</v>
      </c>
      <c r="G429" s="282">
        <f t="shared" si="35"/>
        <v>34</v>
      </c>
      <c r="H429" s="282">
        <f t="shared" si="36"/>
        <v>4164.9885956337612</v>
      </c>
      <c r="I429" s="282">
        <f t="shared" si="37"/>
        <v>9683.5984848484932</v>
      </c>
      <c r="J429" s="282">
        <f t="shared" si="38"/>
        <v>116203.18181818191</v>
      </c>
      <c r="K429" s="282"/>
      <c r="L429" s="240">
        <f t="shared" si="39"/>
        <v>5580</v>
      </c>
      <c r="M429" s="282"/>
      <c r="N429" s="231"/>
    </row>
    <row r="430" spans="2:14" x14ac:dyDescent="0.2">
      <c r="B430" s="281"/>
      <c r="C430" s="282">
        <v>1</v>
      </c>
      <c r="D430" s="283"/>
      <c r="E430" s="282">
        <v>1</v>
      </c>
      <c r="F430" s="282">
        <v>28.2</v>
      </c>
      <c r="G430" s="282">
        <f t="shared" si="35"/>
        <v>34</v>
      </c>
      <c r="H430" s="282">
        <f t="shared" si="36"/>
        <v>4140.6511927788561</v>
      </c>
      <c r="I430" s="282">
        <f t="shared" si="37"/>
        <v>9730.5303030303112</v>
      </c>
      <c r="J430" s="282">
        <f t="shared" si="38"/>
        <v>116766.36363636373</v>
      </c>
      <c r="K430" s="282"/>
      <c r="L430" s="240">
        <f t="shared" si="39"/>
        <v>5640</v>
      </c>
      <c r="M430" s="282"/>
    </row>
    <row r="431" spans="2:14" x14ac:dyDescent="0.2">
      <c r="B431" s="281"/>
      <c r="C431" s="282">
        <v>1</v>
      </c>
      <c r="D431" s="283"/>
      <c r="E431" s="282">
        <v>1</v>
      </c>
      <c r="F431" s="282">
        <v>30.3</v>
      </c>
      <c r="G431" s="282">
        <f t="shared" si="35"/>
        <v>34</v>
      </c>
      <c r="H431" s="282">
        <f t="shared" si="36"/>
        <v>3983.7833783378373</v>
      </c>
      <c r="I431" s="282">
        <f t="shared" si="37"/>
        <v>10059.053030303039</v>
      </c>
      <c r="J431" s="282">
        <f t="shared" si="38"/>
        <v>120708.63636363647</v>
      </c>
      <c r="K431" s="282"/>
      <c r="L431" s="240">
        <f t="shared" si="39"/>
        <v>6060</v>
      </c>
      <c r="M431" s="282"/>
    </row>
    <row r="432" spans="2:14" x14ac:dyDescent="0.2">
      <c r="B432" s="281"/>
      <c r="C432" s="282">
        <v>1</v>
      </c>
      <c r="D432" s="283"/>
      <c r="E432" s="282">
        <v>2</v>
      </c>
      <c r="F432" s="282">
        <v>38.1</v>
      </c>
      <c r="G432" s="282">
        <f t="shared" si="35"/>
        <v>40</v>
      </c>
      <c r="H432" s="282">
        <f t="shared" si="36"/>
        <v>3848.1627296587953</v>
      </c>
      <c r="I432" s="282">
        <f t="shared" si="37"/>
        <v>12217.916666666677</v>
      </c>
      <c r="J432" s="282">
        <f t="shared" si="38"/>
        <v>146615.00000000012</v>
      </c>
      <c r="K432" s="282"/>
      <c r="L432" s="240">
        <f t="shared" si="39"/>
        <v>7620</v>
      </c>
      <c r="M432" s="282"/>
    </row>
    <row r="433" spans="1:25" x14ac:dyDescent="0.2">
      <c r="B433" s="281"/>
      <c r="C433" s="282">
        <v>1</v>
      </c>
      <c r="D433" s="283"/>
      <c r="E433" s="282">
        <v>2</v>
      </c>
      <c r="F433" s="282">
        <v>45</v>
      </c>
      <c r="G433" s="282">
        <f t="shared" si="35"/>
        <v>40</v>
      </c>
      <c r="H433" s="282">
        <f t="shared" si="36"/>
        <v>3545.9595959595995</v>
      </c>
      <c r="I433" s="282">
        <f t="shared" si="37"/>
        <v>13297.348484848497</v>
      </c>
      <c r="J433" s="282">
        <f t="shared" si="38"/>
        <v>159568.18181818197</v>
      </c>
      <c r="K433" s="282"/>
      <c r="L433" s="240">
        <f t="shared" si="39"/>
        <v>9000</v>
      </c>
      <c r="M433" s="282"/>
    </row>
    <row r="434" spans="1:25" x14ac:dyDescent="0.2">
      <c r="B434" s="281"/>
      <c r="C434" s="282">
        <v>1</v>
      </c>
      <c r="D434" s="283"/>
      <c r="E434" s="282">
        <v>4</v>
      </c>
      <c r="F434" s="282">
        <v>70.400000000000006</v>
      </c>
      <c r="G434" s="282">
        <f t="shared" si="35"/>
        <v>49</v>
      </c>
      <c r="H434" s="282">
        <f t="shared" si="36"/>
        <v>3183.897210743804</v>
      </c>
      <c r="I434" s="282">
        <f t="shared" si="37"/>
        <v>18678.863636363651</v>
      </c>
      <c r="J434" s="282">
        <f t="shared" si="38"/>
        <v>224146.36363636382</v>
      </c>
      <c r="K434" s="282"/>
      <c r="L434" s="240">
        <f t="shared" si="39"/>
        <v>14080.000000000002</v>
      </c>
      <c r="M434" s="282"/>
    </row>
    <row r="435" spans="1:25" x14ac:dyDescent="0.2">
      <c r="B435" s="281"/>
      <c r="C435" s="282">
        <v>1</v>
      </c>
      <c r="D435" s="283"/>
      <c r="E435" s="282">
        <v>1</v>
      </c>
      <c r="F435" s="282">
        <v>26.9</v>
      </c>
      <c r="G435" s="282">
        <f t="shared" si="35"/>
        <v>34</v>
      </c>
      <c r="H435" s="282">
        <f t="shared" si="36"/>
        <v>4250.033795201085</v>
      </c>
      <c r="I435" s="282">
        <f t="shared" si="37"/>
        <v>9527.1590909090974</v>
      </c>
      <c r="J435" s="282">
        <f t="shared" si="38"/>
        <v>114325.90909090918</v>
      </c>
      <c r="K435" s="282"/>
      <c r="L435" s="240">
        <f t="shared" si="39"/>
        <v>5380</v>
      </c>
      <c r="M435" s="282"/>
    </row>
    <row r="436" spans="1:25" x14ac:dyDescent="0.2">
      <c r="B436" s="281"/>
      <c r="C436" s="282">
        <v>1</v>
      </c>
      <c r="D436" s="283"/>
      <c r="E436" s="282">
        <v>1</v>
      </c>
      <c r="F436" s="282">
        <v>26.9</v>
      </c>
      <c r="G436" s="282">
        <f t="shared" si="35"/>
        <v>34</v>
      </c>
      <c r="H436" s="282">
        <f t="shared" si="36"/>
        <v>4250.033795201085</v>
      </c>
      <c r="I436" s="282">
        <f t="shared" si="37"/>
        <v>9527.1590909090974</v>
      </c>
      <c r="J436" s="282">
        <f t="shared" si="38"/>
        <v>114325.90909090918</v>
      </c>
      <c r="K436" s="282"/>
      <c r="L436" s="240">
        <f t="shared" si="39"/>
        <v>5380</v>
      </c>
      <c r="M436" s="282"/>
    </row>
    <row r="437" spans="1:25" x14ac:dyDescent="0.2">
      <c r="B437" s="281"/>
      <c r="C437" s="282">
        <v>1</v>
      </c>
      <c r="D437" s="283"/>
      <c r="E437" s="282">
        <v>1</v>
      </c>
      <c r="F437" s="282">
        <v>32.9</v>
      </c>
      <c r="G437" s="282">
        <f t="shared" si="35"/>
        <v>34</v>
      </c>
      <c r="H437" s="282">
        <f t="shared" si="36"/>
        <v>3817.311411992267</v>
      </c>
      <c r="I437" s="282">
        <f t="shared" si="37"/>
        <v>10465.795454545465</v>
      </c>
      <c r="J437" s="282">
        <f t="shared" si="38"/>
        <v>125589.54545454559</v>
      </c>
      <c r="K437" s="282"/>
      <c r="L437" s="240">
        <f t="shared" si="39"/>
        <v>6580</v>
      </c>
      <c r="M437" s="282"/>
    </row>
    <row r="438" spans="1:25" x14ac:dyDescent="0.2">
      <c r="B438" s="281"/>
      <c r="C438" s="282">
        <v>1</v>
      </c>
      <c r="D438" s="283"/>
      <c r="E438" s="282">
        <v>2</v>
      </c>
      <c r="F438" s="282">
        <v>45</v>
      </c>
      <c r="G438" s="282">
        <f t="shared" si="35"/>
        <v>40</v>
      </c>
      <c r="H438" s="282">
        <f t="shared" si="36"/>
        <v>3545.9595959595995</v>
      </c>
      <c r="I438" s="282">
        <f t="shared" si="37"/>
        <v>13297.348484848497</v>
      </c>
      <c r="J438" s="282">
        <f t="shared" si="38"/>
        <v>159568.18181818197</v>
      </c>
      <c r="K438" s="282"/>
      <c r="L438" s="240">
        <f t="shared" si="39"/>
        <v>9000</v>
      </c>
      <c r="M438" s="282"/>
    </row>
    <row r="439" spans="1:25" x14ac:dyDescent="0.2">
      <c r="B439" s="281"/>
      <c r="C439" s="282">
        <v>1</v>
      </c>
      <c r="D439" s="283"/>
      <c r="E439" s="282">
        <v>1</v>
      </c>
      <c r="F439" s="282">
        <v>26.9</v>
      </c>
      <c r="G439" s="282">
        <f t="shared" si="35"/>
        <v>34</v>
      </c>
      <c r="H439" s="282">
        <f t="shared" si="36"/>
        <v>4250.033795201085</v>
      </c>
      <c r="I439" s="282">
        <f t="shared" si="37"/>
        <v>9527.1590909090974</v>
      </c>
      <c r="J439" s="282">
        <f t="shared" si="38"/>
        <v>114325.90909090918</v>
      </c>
      <c r="K439" s="282"/>
      <c r="L439" s="240">
        <f t="shared" si="39"/>
        <v>5380</v>
      </c>
      <c r="M439" s="282"/>
    </row>
    <row r="440" spans="1:25" x14ac:dyDescent="0.2">
      <c r="B440" s="281"/>
      <c r="C440" s="282">
        <v>1</v>
      </c>
      <c r="D440" s="283"/>
      <c r="E440" s="282">
        <v>1</v>
      </c>
      <c r="F440" s="282">
        <v>26.9</v>
      </c>
      <c r="G440" s="282">
        <f t="shared" si="35"/>
        <v>34</v>
      </c>
      <c r="H440" s="282">
        <f t="shared" si="36"/>
        <v>4250.033795201085</v>
      </c>
      <c r="I440" s="282">
        <f t="shared" si="37"/>
        <v>9527.1590909090974</v>
      </c>
      <c r="J440" s="282">
        <f t="shared" si="38"/>
        <v>114325.90909090918</v>
      </c>
      <c r="K440" s="282"/>
      <c r="L440" s="240">
        <f t="shared" si="39"/>
        <v>5380</v>
      </c>
      <c r="M440" s="282"/>
    </row>
    <row r="441" spans="1:25" x14ac:dyDescent="0.2">
      <c r="B441" s="281"/>
      <c r="C441" s="282">
        <v>1</v>
      </c>
      <c r="D441" s="283"/>
      <c r="E441" s="282">
        <v>1</v>
      </c>
      <c r="F441" s="282">
        <v>32.9</v>
      </c>
      <c r="G441" s="282">
        <f t="shared" si="35"/>
        <v>34</v>
      </c>
      <c r="H441" s="282">
        <f t="shared" si="36"/>
        <v>3817.311411992267</v>
      </c>
      <c r="I441" s="282">
        <f t="shared" si="37"/>
        <v>10465.795454545465</v>
      </c>
      <c r="J441" s="282">
        <f t="shared" si="38"/>
        <v>125589.54545454559</v>
      </c>
      <c r="K441" s="282"/>
      <c r="L441" s="240">
        <f t="shared" si="39"/>
        <v>6580</v>
      </c>
      <c r="M441" s="282"/>
    </row>
    <row r="442" spans="1:25" x14ac:dyDescent="0.2">
      <c r="B442" s="281"/>
      <c r="C442" s="282">
        <v>1</v>
      </c>
      <c r="D442" s="283"/>
      <c r="E442" s="282">
        <v>2</v>
      </c>
      <c r="F442" s="282">
        <v>45</v>
      </c>
      <c r="G442" s="282">
        <f t="shared" si="35"/>
        <v>40</v>
      </c>
      <c r="H442" s="282">
        <f t="shared" si="36"/>
        <v>3545.9595959595995</v>
      </c>
      <c r="I442" s="282">
        <f t="shared" si="37"/>
        <v>13297.348484848497</v>
      </c>
      <c r="J442" s="282">
        <f t="shared" si="38"/>
        <v>159568.18181818197</v>
      </c>
      <c r="K442" s="282"/>
      <c r="L442" s="240">
        <f t="shared" si="39"/>
        <v>9000</v>
      </c>
      <c r="M442" s="282"/>
    </row>
    <row r="443" spans="1:25" x14ac:dyDescent="0.2">
      <c r="B443" s="281"/>
      <c r="C443" s="282"/>
      <c r="D443" s="283"/>
      <c r="E443" s="282"/>
      <c r="F443" s="282"/>
      <c r="G443" s="282"/>
      <c r="H443" s="282"/>
      <c r="I443" s="282"/>
      <c r="J443" s="282"/>
      <c r="K443" s="282"/>
      <c r="L443" s="240"/>
      <c r="M443" s="282"/>
    </row>
    <row r="445" spans="1:25" x14ac:dyDescent="0.2">
      <c r="A445" s="228"/>
      <c r="B445" s="233"/>
      <c r="C445" s="405" t="s">
        <v>275</v>
      </c>
      <c r="D445" s="405"/>
      <c r="E445" s="405"/>
      <c r="F445" s="405"/>
      <c r="G445" s="405"/>
      <c r="H445" s="405"/>
      <c r="I445" s="405"/>
      <c r="J445" s="405"/>
      <c r="K445" s="268"/>
      <c r="L445" s="267"/>
      <c r="M445" s="268"/>
      <c r="N445" s="267"/>
      <c r="T445" s="229"/>
      <c r="U445" s="269"/>
      <c r="V445" s="269"/>
      <c r="W445" s="269"/>
      <c r="X445" s="269"/>
      <c r="Y445" s="269"/>
    </row>
    <row r="446" spans="1:25" s="270" customFormat="1" ht="22.5" x14ac:dyDescent="0.2">
      <c r="B446" s="271"/>
      <c r="C446" s="271" t="s">
        <v>277</v>
      </c>
      <c r="D446" s="272" t="s">
        <v>276</v>
      </c>
      <c r="E446" s="271"/>
      <c r="F446" s="271" t="s">
        <v>260</v>
      </c>
      <c r="G446" s="273"/>
      <c r="H446" s="271" t="s">
        <v>262</v>
      </c>
      <c r="I446" s="271" t="s">
        <v>263</v>
      </c>
      <c r="J446" s="273" t="s">
        <v>264</v>
      </c>
      <c r="K446" s="273"/>
      <c r="L446" s="273"/>
      <c r="M446" s="273"/>
      <c r="N446" s="273"/>
      <c r="P446" s="228"/>
      <c r="Q446" s="228"/>
      <c r="R446" s="228"/>
      <c r="S446" s="228"/>
      <c r="T446" s="229"/>
      <c r="U446" s="228"/>
      <c r="V446" s="228"/>
      <c r="W446" s="228"/>
      <c r="X446" s="228"/>
      <c r="Y446" s="228"/>
    </row>
    <row r="447" spans="1:25" x14ac:dyDescent="0.2">
      <c r="A447" s="228"/>
      <c r="B447" s="281"/>
      <c r="C447" s="282">
        <v>1</v>
      </c>
      <c r="D447" s="283">
        <v>1</v>
      </c>
      <c r="E447" s="282"/>
      <c r="F447" s="282">
        <v>67</v>
      </c>
      <c r="G447" s="282"/>
      <c r="H447" s="282">
        <v>3000</v>
      </c>
      <c r="I447" s="282">
        <f>(H447*F447)/12</f>
        <v>16750</v>
      </c>
      <c r="J447" s="282">
        <f>H447*F447</f>
        <v>201000</v>
      </c>
      <c r="K447" s="282"/>
      <c r="L447" s="282"/>
      <c r="M447" s="282"/>
    </row>
    <row r="448" spans="1:25" x14ac:dyDescent="0.2">
      <c r="A448" s="228"/>
      <c r="B448" s="281"/>
      <c r="C448" s="282">
        <v>1</v>
      </c>
      <c r="D448" s="283">
        <v>2</v>
      </c>
      <c r="E448" s="282"/>
      <c r="F448" s="282">
        <v>413</v>
      </c>
      <c r="G448" s="282"/>
      <c r="H448" s="282">
        <v>3000</v>
      </c>
      <c r="I448" s="282">
        <f>(H448*F448)/12</f>
        <v>103250</v>
      </c>
      <c r="J448" s="282">
        <f>H448*F448</f>
        <v>1239000</v>
      </c>
      <c r="K448" s="282"/>
      <c r="L448" s="282"/>
      <c r="M448" s="282"/>
    </row>
    <row r="449" spans="2:14" s="228" customFormat="1" ht="12" thickBot="1" x14ac:dyDescent="0.25">
      <c r="B449" s="305"/>
      <c r="C449" s="306">
        <v>1</v>
      </c>
      <c r="D449" s="307">
        <v>3</v>
      </c>
      <c r="E449" s="306"/>
      <c r="F449" s="306">
        <v>25</v>
      </c>
      <c r="G449" s="306"/>
      <c r="H449" s="306">
        <v>3000</v>
      </c>
      <c r="I449" s="306">
        <f>(H449*F449)/12</f>
        <v>6250</v>
      </c>
      <c r="J449" s="306">
        <f>H449*F449</f>
        <v>75000</v>
      </c>
      <c r="K449" s="306"/>
      <c r="L449" s="306"/>
      <c r="M449" s="306"/>
      <c r="N449" s="308"/>
    </row>
    <row r="450" spans="2:14" s="249" customFormat="1" ht="12" thickTop="1" x14ac:dyDescent="0.2">
      <c r="B450" s="264"/>
      <c r="C450" s="309">
        <f>SUM(C447:C449)</f>
        <v>3</v>
      </c>
      <c r="D450" s="310"/>
      <c r="E450" s="310"/>
      <c r="F450" s="309">
        <f>SUM(F447:F449)</f>
        <v>505</v>
      </c>
      <c r="G450" s="310"/>
      <c r="H450" s="311">
        <f>J450/F450</f>
        <v>3000</v>
      </c>
      <c r="I450" s="309">
        <f>SUM(I447:I449)</f>
        <v>126250</v>
      </c>
      <c r="J450" s="309">
        <f>SUM(J447:J449)</f>
        <v>1515000</v>
      </c>
      <c r="K450" s="311"/>
      <c r="L450" s="312"/>
      <c r="M450" s="311"/>
      <c r="N450" s="312"/>
    </row>
    <row r="451" spans="2:14" s="228" customFormat="1" x14ac:dyDescent="0.2">
      <c r="B451" s="229"/>
      <c r="C451" s="230"/>
      <c r="D451" s="230"/>
      <c r="E451" s="230"/>
      <c r="F451" s="230"/>
      <c r="G451" s="230"/>
      <c r="H451" s="231"/>
      <c r="I451" s="231"/>
      <c r="J451" s="231"/>
      <c r="K451" s="231"/>
      <c r="L451" s="232"/>
      <c r="M451" s="231"/>
      <c r="N451" s="232"/>
    </row>
    <row r="452" spans="2:14" s="228" customFormat="1" x14ac:dyDescent="0.2">
      <c r="B452" s="229"/>
      <c r="C452" s="230"/>
      <c r="D452" s="230"/>
      <c r="E452" s="230"/>
      <c r="F452" s="230"/>
      <c r="G452" s="230"/>
      <c r="H452" s="231"/>
      <c r="I452" s="231"/>
      <c r="J452" s="231"/>
      <c r="K452" s="231"/>
      <c r="L452" s="232"/>
      <c r="M452" s="231"/>
      <c r="N452" s="232"/>
    </row>
    <row r="453" spans="2:14" s="228" customFormat="1" x14ac:dyDescent="0.2">
      <c r="B453" s="229"/>
      <c r="C453" s="230"/>
      <c r="D453" s="230"/>
      <c r="E453" s="230"/>
      <c r="F453" s="230"/>
      <c r="G453" s="230"/>
      <c r="H453" s="231"/>
      <c r="I453" s="231"/>
      <c r="J453" s="231"/>
      <c r="K453" s="231"/>
      <c r="L453" s="232"/>
      <c r="M453" s="231"/>
      <c r="N453" s="232"/>
    </row>
    <row r="454" spans="2:14" s="228" customFormat="1" x14ac:dyDescent="0.2">
      <c r="B454" s="229"/>
      <c r="C454" s="230"/>
      <c r="D454" s="230"/>
      <c r="E454" s="230"/>
      <c r="F454" s="230"/>
      <c r="G454" s="230"/>
      <c r="H454" s="231"/>
      <c r="I454" s="231"/>
      <c r="J454" s="231"/>
      <c r="K454" s="231"/>
      <c r="L454" s="232"/>
      <c r="M454" s="231"/>
      <c r="N454" s="232"/>
    </row>
    <row r="455" spans="2:14" s="228" customFormat="1" x14ac:dyDescent="0.2">
      <c r="B455" s="229"/>
      <c r="C455" s="230"/>
      <c r="D455" s="230"/>
      <c r="E455" s="230"/>
      <c r="F455" s="230"/>
      <c r="G455" s="230"/>
      <c r="H455" s="231"/>
      <c r="I455" s="231"/>
      <c r="J455" s="231"/>
      <c r="K455" s="231"/>
      <c r="L455" s="232"/>
      <c r="M455" s="231"/>
      <c r="N455" s="232"/>
    </row>
    <row r="456" spans="2:14" s="228" customFormat="1" x14ac:dyDescent="0.2">
      <c r="B456" s="229"/>
      <c r="C456" s="230"/>
      <c r="D456" s="230"/>
      <c r="E456" s="230"/>
      <c r="F456" s="230"/>
      <c r="G456" s="230"/>
      <c r="H456" s="231"/>
      <c r="I456" s="231"/>
      <c r="J456" s="231"/>
      <c r="K456" s="231"/>
      <c r="L456" s="232"/>
      <c r="M456" s="231"/>
      <c r="N456" s="232"/>
    </row>
    <row r="457" spans="2:14" s="228" customFormat="1" x14ac:dyDescent="0.2">
      <c r="B457" s="229"/>
      <c r="C457" s="230"/>
      <c r="D457" s="230"/>
      <c r="E457" s="230"/>
      <c r="F457" s="230"/>
      <c r="G457" s="230"/>
      <c r="H457" s="231"/>
      <c r="I457" s="231"/>
      <c r="J457" s="231"/>
      <c r="K457" s="231"/>
      <c r="L457" s="232"/>
      <c r="M457" s="231"/>
      <c r="N457" s="232"/>
    </row>
    <row r="458" spans="2:14" s="228" customFormat="1" x14ac:dyDescent="0.2">
      <c r="B458" s="229"/>
      <c r="C458" s="230"/>
      <c r="D458" s="230"/>
      <c r="E458" s="230"/>
      <c r="F458" s="230"/>
      <c r="G458" s="230"/>
      <c r="H458" s="231"/>
      <c r="I458" s="231"/>
      <c r="J458" s="231"/>
      <c r="K458" s="231"/>
      <c r="L458" s="232"/>
      <c r="M458" s="231"/>
      <c r="N458" s="232"/>
    </row>
    <row r="459" spans="2:14" s="228" customFormat="1" x14ac:dyDescent="0.2">
      <c r="B459" s="229"/>
      <c r="C459" s="230"/>
      <c r="D459" s="230"/>
      <c r="E459" s="230"/>
      <c r="F459" s="230"/>
      <c r="G459" s="230"/>
      <c r="H459" s="231"/>
      <c r="I459" s="231"/>
      <c r="J459" s="231"/>
      <c r="K459" s="231"/>
      <c r="L459" s="232"/>
      <c r="M459" s="231"/>
      <c r="N459" s="232"/>
    </row>
    <row r="460" spans="2:14" s="228" customFormat="1" x14ac:dyDescent="0.2">
      <c r="B460" s="229"/>
      <c r="C460" s="230"/>
      <c r="D460" s="230"/>
      <c r="E460" s="230"/>
      <c r="F460" s="230"/>
      <c r="G460" s="230"/>
      <c r="H460" s="231"/>
      <c r="I460" s="231"/>
      <c r="J460" s="231"/>
      <c r="K460" s="231"/>
      <c r="L460" s="232"/>
      <c r="M460" s="231"/>
      <c r="N460" s="232"/>
    </row>
    <row r="461" spans="2:14" s="228" customFormat="1" x14ac:dyDescent="0.2">
      <c r="B461" s="229"/>
      <c r="C461" s="230"/>
      <c r="D461" s="230"/>
      <c r="E461" s="230"/>
      <c r="F461" s="230"/>
      <c r="G461" s="230"/>
      <c r="H461" s="231"/>
      <c r="I461" s="231"/>
      <c r="J461" s="231"/>
      <c r="K461" s="231"/>
      <c r="L461" s="232"/>
      <c r="M461" s="231"/>
      <c r="N461" s="232"/>
    </row>
    <row r="462" spans="2:14" s="228" customFormat="1" x14ac:dyDescent="0.2">
      <c r="B462" s="229"/>
      <c r="C462" s="230"/>
      <c r="D462" s="230"/>
      <c r="E462" s="230"/>
      <c r="F462" s="230"/>
      <c r="G462" s="230"/>
      <c r="H462" s="231"/>
      <c r="I462" s="231"/>
      <c r="J462" s="231"/>
      <c r="K462" s="231"/>
      <c r="L462" s="232"/>
      <c r="M462" s="231"/>
      <c r="N462" s="232"/>
    </row>
    <row r="463" spans="2:14" s="228" customFormat="1" x14ac:dyDescent="0.2">
      <c r="B463" s="229"/>
      <c r="C463" s="230"/>
      <c r="D463" s="230"/>
      <c r="E463" s="230"/>
      <c r="F463" s="230"/>
      <c r="G463" s="230"/>
      <c r="H463" s="231"/>
      <c r="I463" s="231"/>
      <c r="J463" s="231"/>
      <c r="K463" s="231"/>
      <c r="L463" s="232"/>
      <c r="M463" s="231"/>
      <c r="N463" s="232"/>
    </row>
    <row r="464" spans="2:14" s="228" customFormat="1" x14ac:dyDescent="0.2">
      <c r="B464" s="229"/>
      <c r="C464" s="230"/>
      <c r="D464" s="230"/>
      <c r="E464" s="230"/>
      <c r="F464" s="230"/>
      <c r="G464" s="230"/>
      <c r="H464" s="231"/>
      <c r="I464" s="231"/>
      <c r="J464" s="231"/>
      <c r="K464" s="231"/>
      <c r="L464" s="232"/>
      <c r="M464" s="231"/>
      <c r="N464" s="232"/>
    </row>
    <row r="465" spans="2:14" s="228" customFormat="1" x14ac:dyDescent="0.2">
      <c r="B465" s="229"/>
      <c r="C465" s="230"/>
      <c r="D465" s="230"/>
      <c r="E465" s="230"/>
      <c r="F465" s="230"/>
      <c r="G465" s="230"/>
      <c r="H465" s="231"/>
      <c r="I465" s="231"/>
      <c r="J465" s="231"/>
      <c r="K465" s="231"/>
      <c r="L465" s="232"/>
      <c r="M465" s="231"/>
      <c r="N465" s="232"/>
    </row>
    <row r="466" spans="2:14" s="228" customFormat="1" x14ac:dyDescent="0.2">
      <c r="B466" s="229"/>
      <c r="C466" s="230"/>
      <c r="D466" s="230"/>
      <c r="E466" s="230"/>
      <c r="F466" s="230"/>
      <c r="G466" s="230"/>
      <c r="H466" s="231"/>
      <c r="I466" s="231"/>
      <c r="J466" s="231"/>
      <c r="K466" s="231"/>
      <c r="L466" s="232"/>
      <c r="M466" s="231"/>
      <c r="N466" s="232"/>
    </row>
    <row r="467" spans="2:14" s="228" customFormat="1" x14ac:dyDescent="0.2">
      <c r="B467" s="229"/>
      <c r="C467" s="230"/>
      <c r="D467" s="230"/>
      <c r="E467" s="230"/>
      <c r="F467" s="230"/>
      <c r="G467" s="230"/>
      <c r="H467" s="231"/>
      <c r="I467" s="231"/>
      <c r="J467" s="231"/>
      <c r="K467" s="231"/>
      <c r="L467" s="232"/>
      <c r="M467" s="231"/>
      <c r="N467" s="232"/>
    </row>
    <row r="468" spans="2:14" s="228" customFormat="1" x14ac:dyDescent="0.2">
      <c r="B468" s="229"/>
      <c r="C468" s="230"/>
      <c r="D468" s="230"/>
      <c r="E468" s="230"/>
      <c r="F468" s="230"/>
      <c r="G468" s="230"/>
      <c r="H468" s="231"/>
      <c r="I468" s="231"/>
      <c r="J468" s="231"/>
      <c r="K468" s="231"/>
      <c r="L468" s="232"/>
      <c r="M468" s="231"/>
      <c r="N468" s="232"/>
    </row>
    <row r="469" spans="2:14" s="228" customFormat="1" x14ac:dyDescent="0.2">
      <c r="B469" s="229"/>
      <c r="C469" s="230"/>
      <c r="D469" s="230"/>
      <c r="E469" s="230"/>
      <c r="F469" s="230"/>
      <c r="G469" s="230"/>
      <c r="H469" s="231"/>
      <c r="I469" s="231"/>
      <c r="J469" s="231"/>
      <c r="K469" s="231"/>
      <c r="L469" s="232"/>
      <c r="M469" s="231"/>
      <c r="N469" s="232"/>
    </row>
    <row r="470" spans="2:14" s="228" customFormat="1" x14ac:dyDescent="0.2">
      <c r="B470" s="229"/>
      <c r="C470" s="230"/>
      <c r="D470" s="230"/>
      <c r="E470" s="230"/>
      <c r="F470" s="230"/>
      <c r="G470" s="230"/>
      <c r="H470" s="231"/>
      <c r="I470" s="231"/>
      <c r="J470" s="231"/>
      <c r="K470" s="231"/>
      <c r="L470" s="232"/>
      <c r="M470" s="231"/>
      <c r="N470" s="232"/>
    </row>
    <row r="471" spans="2:14" s="228" customFormat="1" x14ac:dyDescent="0.2">
      <c r="B471" s="229"/>
      <c r="C471" s="230"/>
      <c r="D471" s="230"/>
      <c r="E471" s="230"/>
      <c r="F471" s="230"/>
      <c r="G471" s="230"/>
      <c r="H471" s="231"/>
      <c r="I471" s="231"/>
      <c r="J471" s="231"/>
      <c r="K471" s="231"/>
      <c r="L471" s="232"/>
      <c r="M471" s="231"/>
      <c r="N471" s="232"/>
    </row>
    <row r="472" spans="2:14" s="228" customFormat="1" x14ac:dyDescent="0.2">
      <c r="B472" s="229"/>
      <c r="C472" s="230"/>
      <c r="D472" s="230"/>
      <c r="E472" s="230"/>
      <c r="F472" s="230"/>
      <c r="G472" s="230"/>
      <c r="H472" s="231"/>
      <c r="I472" s="231"/>
      <c r="J472" s="231"/>
      <c r="K472" s="231"/>
      <c r="L472" s="232"/>
      <c r="M472" s="231"/>
      <c r="N472" s="232"/>
    </row>
    <row r="473" spans="2:14" s="228" customFormat="1" x14ac:dyDescent="0.2">
      <c r="B473" s="229"/>
      <c r="C473" s="230"/>
      <c r="D473" s="230"/>
      <c r="E473" s="230"/>
      <c r="F473" s="230"/>
      <c r="G473" s="230"/>
      <c r="H473" s="231"/>
      <c r="I473" s="231"/>
      <c r="J473" s="231"/>
      <c r="K473" s="231"/>
      <c r="L473" s="232"/>
      <c r="M473" s="231"/>
      <c r="N473" s="232"/>
    </row>
    <row r="474" spans="2:14" s="228" customFormat="1" x14ac:dyDescent="0.2">
      <c r="B474" s="229"/>
      <c r="C474" s="230"/>
      <c r="D474" s="230"/>
      <c r="E474" s="230"/>
      <c r="F474" s="230"/>
      <c r="G474" s="230"/>
      <c r="H474" s="231"/>
      <c r="I474" s="231"/>
      <c r="J474" s="231"/>
      <c r="K474" s="231"/>
      <c r="L474" s="232"/>
      <c r="M474" s="231"/>
      <c r="N474" s="232"/>
    </row>
    <row r="475" spans="2:14" s="228" customFormat="1" x14ac:dyDescent="0.2">
      <c r="B475" s="229"/>
      <c r="C475" s="230"/>
      <c r="D475" s="230"/>
      <c r="E475" s="230"/>
      <c r="F475" s="230"/>
      <c r="G475" s="230"/>
      <c r="H475" s="231"/>
      <c r="I475" s="231"/>
      <c r="J475" s="231"/>
      <c r="K475" s="231"/>
      <c r="L475" s="232"/>
      <c r="M475" s="231"/>
      <c r="N475" s="232"/>
    </row>
    <row r="476" spans="2:14" s="228" customFormat="1" x14ac:dyDescent="0.2">
      <c r="B476" s="229"/>
      <c r="C476" s="230"/>
      <c r="D476" s="230"/>
      <c r="E476" s="230"/>
      <c r="F476" s="230"/>
      <c r="G476" s="230"/>
      <c r="H476" s="231"/>
      <c r="I476" s="231"/>
      <c r="J476" s="231"/>
      <c r="K476" s="231"/>
      <c r="L476" s="232"/>
      <c r="M476" s="231"/>
      <c r="N476" s="232"/>
    </row>
    <row r="477" spans="2:14" s="228" customFormat="1" x14ac:dyDescent="0.2">
      <c r="B477" s="229"/>
      <c r="C477" s="230"/>
      <c r="D477" s="230"/>
      <c r="E477" s="230"/>
      <c r="F477" s="230"/>
      <c r="G477" s="230"/>
      <c r="H477" s="231"/>
      <c r="I477" s="231"/>
      <c r="J477" s="231"/>
      <c r="K477" s="231"/>
      <c r="L477" s="232"/>
      <c r="M477" s="231"/>
      <c r="N477" s="232"/>
    </row>
    <row r="478" spans="2:14" s="228" customFormat="1" x14ac:dyDescent="0.2">
      <c r="B478" s="229"/>
      <c r="C478" s="230"/>
      <c r="D478" s="230"/>
      <c r="E478" s="230"/>
      <c r="F478" s="230"/>
      <c r="G478" s="230"/>
      <c r="H478" s="231"/>
      <c r="I478" s="231"/>
      <c r="J478" s="231"/>
      <c r="K478" s="231"/>
      <c r="L478" s="232"/>
      <c r="M478" s="231"/>
      <c r="N478" s="232"/>
    </row>
    <row r="479" spans="2:14" s="228" customFormat="1" x14ac:dyDescent="0.2">
      <c r="B479" s="229"/>
      <c r="C479" s="230"/>
      <c r="D479" s="230"/>
      <c r="E479" s="230"/>
      <c r="F479" s="230"/>
      <c r="G479" s="230"/>
      <c r="H479" s="231"/>
      <c r="I479" s="231"/>
      <c r="J479" s="231"/>
      <c r="K479" s="231"/>
      <c r="L479" s="232"/>
      <c r="M479" s="231"/>
      <c r="N479" s="232"/>
    </row>
    <row r="480" spans="2:14" s="228" customFormat="1" x14ac:dyDescent="0.2">
      <c r="B480" s="229"/>
      <c r="C480" s="230"/>
      <c r="D480" s="230"/>
      <c r="E480" s="230"/>
      <c r="F480" s="230"/>
      <c r="G480" s="230"/>
      <c r="H480" s="231"/>
      <c r="I480" s="231"/>
      <c r="J480" s="231"/>
      <c r="K480" s="231"/>
      <c r="L480" s="232"/>
      <c r="M480" s="231"/>
      <c r="N480" s="232"/>
    </row>
    <row r="481" spans="2:14" s="228" customFormat="1" x14ac:dyDescent="0.2">
      <c r="B481" s="229"/>
      <c r="C481" s="230"/>
      <c r="D481" s="230"/>
      <c r="E481" s="230"/>
      <c r="F481" s="230"/>
      <c r="G481" s="230"/>
      <c r="H481" s="231"/>
      <c r="I481" s="231"/>
      <c r="J481" s="231"/>
      <c r="K481" s="231"/>
      <c r="L481" s="232"/>
      <c r="M481" s="231"/>
      <c r="N481" s="232"/>
    </row>
    <row r="482" spans="2:14" s="228" customFormat="1" x14ac:dyDescent="0.2">
      <c r="B482" s="229"/>
      <c r="C482" s="230"/>
      <c r="D482" s="230"/>
      <c r="E482" s="230"/>
      <c r="F482" s="230"/>
      <c r="G482" s="230"/>
      <c r="H482" s="231"/>
      <c r="I482" s="231"/>
      <c r="J482" s="231"/>
      <c r="K482" s="231"/>
      <c r="L482" s="232"/>
      <c r="M482" s="231"/>
      <c r="N482" s="232"/>
    </row>
    <row r="483" spans="2:14" s="228" customFormat="1" x14ac:dyDescent="0.2">
      <c r="B483" s="229"/>
      <c r="C483" s="230"/>
      <c r="D483" s="230"/>
      <c r="E483" s="230"/>
      <c r="F483" s="230"/>
      <c r="G483" s="230"/>
      <c r="H483" s="231"/>
      <c r="I483" s="231"/>
      <c r="J483" s="231"/>
      <c r="K483" s="231"/>
      <c r="L483" s="232"/>
      <c r="M483" s="231"/>
      <c r="N483" s="232"/>
    </row>
    <row r="484" spans="2:14" s="228" customFormat="1" x14ac:dyDescent="0.2">
      <c r="B484" s="229"/>
      <c r="C484" s="230"/>
      <c r="D484" s="230"/>
      <c r="E484" s="230"/>
      <c r="F484" s="230"/>
      <c r="G484" s="230"/>
      <c r="H484" s="231"/>
      <c r="I484" s="231"/>
      <c r="J484" s="231"/>
      <c r="K484" s="231"/>
      <c r="L484" s="232"/>
      <c r="M484" s="231"/>
      <c r="N484" s="232"/>
    </row>
    <row r="485" spans="2:14" s="228" customFormat="1" x14ac:dyDescent="0.2">
      <c r="B485" s="229"/>
      <c r="C485" s="230"/>
      <c r="D485" s="230"/>
      <c r="E485" s="230"/>
      <c r="F485" s="230"/>
      <c r="G485" s="230"/>
      <c r="H485" s="231"/>
      <c r="I485" s="231"/>
      <c r="J485" s="231"/>
      <c r="K485" s="231"/>
      <c r="L485" s="232"/>
      <c r="M485" s="231"/>
      <c r="N485" s="232"/>
    </row>
    <row r="486" spans="2:14" s="228" customFormat="1" x14ac:dyDescent="0.2">
      <c r="B486" s="229"/>
      <c r="C486" s="230"/>
      <c r="D486" s="230"/>
      <c r="E486" s="230"/>
      <c r="F486" s="230"/>
      <c r="G486" s="230"/>
      <c r="H486" s="231"/>
      <c r="I486" s="231"/>
      <c r="J486" s="231"/>
      <c r="K486" s="231"/>
      <c r="L486" s="232"/>
      <c r="M486" s="231"/>
      <c r="N486" s="232"/>
    </row>
    <row r="487" spans="2:14" s="228" customFormat="1" x14ac:dyDescent="0.2">
      <c r="B487" s="229"/>
      <c r="C487" s="230"/>
      <c r="D487" s="230"/>
      <c r="E487" s="230"/>
      <c r="F487" s="230"/>
      <c r="G487" s="230"/>
      <c r="H487" s="231"/>
      <c r="I487" s="231"/>
      <c r="J487" s="231"/>
      <c r="K487" s="231"/>
      <c r="L487" s="232"/>
      <c r="M487" s="231"/>
      <c r="N487" s="232"/>
    </row>
    <row r="488" spans="2:14" s="228" customFormat="1" x14ac:dyDescent="0.2">
      <c r="B488" s="229"/>
      <c r="C488" s="230"/>
      <c r="D488" s="230"/>
      <c r="E488" s="230"/>
      <c r="F488" s="230"/>
      <c r="G488" s="230"/>
      <c r="H488" s="231"/>
      <c r="I488" s="231"/>
      <c r="J488" s="231"/>
      <c r="K488" s="231"/>
      <c r="L488" s="232"/>
      <c r="M488" s="231"/>
      <c r="N488" s="232"/>
    </row>
    <row r="489" spans="2:14" s="228" customFormat="1" x14ac:dyDescent="0.2">
      <c r="B489" s="229"/>
      <c r="C489" s="230"/>
      <c r="D489" s="230"/>
      <c r="E489" s="230"/>
      <c r="F489" s="230"/>
      <c r="G489" s="230"/>
      <c r="H489" s="231"/>
      <c r="I489" s="231"/>
      <c r="J489" s="231"/>
      <c r="K489" s="231"/>
      <c r="L489" s="232"/>
      <c r="M489" s="231"/>
      <c r="N489" s="232"/>
    </row>
    <row r="490" spans="2:14" s="228" customFormat="1" x14ac:dyDescent="0.2">
      <c r="B490" s="229"/>
      <c r="C490" s="230"/>
      <c r="D490" s="230"/>
      <c r="E490" s="230"/>
      <c r="F490" s="230"/>
      <c r="G490" s="230"/>
      <c r="H490" s="231"/>
      <c r="I490" s="231"/>
      <c r="J490" s="231"/>
      <c r="K490" s="231"/>
      <c r="L490" s="232"/>
      <c r="M490" s="231"/>
      <c r="N490" s="232"/>
    </row>
    <row r="491" spans="2:14" s="228" customFormat="1" x14ac:dyDescent="0.2">
      <c r="B491" s="229"/>
      <c r="C491" s="230"/>
      <c r="D491" s="230"/>
      <c r="E491" s="230"/>
      <c r="F491" s="230"/>
      <c r="G491" s="230"/>
      <c r="H491" s="231"/>
      <c r="I491" s="231"/>
      <c r="J491" s="231"/>
      <c r="K491" s="231"/>
      <c r="L491" s="232"/>
      <c r="M491" s="231"/>
      <c r="N491" s="232"/>
    </row>
    <row r="492" spans="2:14" s="228" customFormat="1" x14ac:dyDescent="0.2">
      <c r="B492" s="229"/>
      <c r="C492" s="230"/>
      <c r="D492" s="230"/>
      <c r="E492" s="230"/>
      <c r="F492" s="230"/>
      <c r="G492" s="230"/>
      <c r="H492" s="231"/>
      <c r="I492" s="231"/>
      <c r="J492" s="231"/>
      <c r="K492" s="231"/>
      <c r="L492" s="232"/>
      <c r="M492" s="231"/>
      <c r="N492" s="232"/>
    </row>
    <row r="493" spans="2:14" s="228" customFormat="1" x14ac:dyDescent="0.2">
      <c r="B493" s="229"/>
      <c r="C493" s="230"/>
      <c r="D493" s="230"/>
      <c r="E493" s="230"/>
      <c r="F493" s="230"/>
      <c r="G493" s="230"/>
      <c r="H493" s="231"/>
      <c r="I493" s="231"/>
      <c r="J493" s="231"/>
      <c r="K493" s="231"/>
      <c r="L493" s="232"/>
      <c r="M493" s="231"/>
      <c r="N493" s="232"/>
    </row>
    <row r="494" spans="2:14" s="228" customFormat="1" x14ac:dyDescent="0.2">
      <c r="B494" s="229"/>
      <c r="C494" s="230"/>
      <c r="D494" s="230"/>
      <c r="E494" s="230"/>
      <c r="F494" s="230"/>
      <c r="G494" s="230"/>
      <c r="H494" s="231"/>
      <c r="I494" s="231"/>
      <c r="J494" s="231"/>
      <c r="K494" s="231"/>
      <c r="L494" s="232"/>
      <c r="M494" s="231"/>
      <c r="N494" s="232"/>
    </row>
    <row r="495" spans="2:14" s="228" customFormat="1" x14ac:dyDescent="0.2">
      <c r="B495" s="229"/>
      <c r="C495" s="230"/>
      <c r="D495" s="230"/>
      <c r="E495" s="230"/>
      <c r="F495" s="230"/>
      <c r="G495" s="230"/>
      <c r="H495" s="231"/>
      <c r="I495" s="231"/>
      <c r="J495" s="231"/>
      <c r="K495" s="231"/>
      <c r="L495" s="232"/>
      <c r="M495" s="231"/>
      <c r="N495" s="232"/>
    </row>
    <row r="496" spans="2:14" s="228" customFormat="1" x14ac:dyDescent="0.2">
      <c r="B496" s="229"/>
      <c r="C496" s="230"/>
      <c r="D496" s="230"/>
      <c r="E496" s="230"/>
      <c r="F496" s="230"/>
      <c r="G496" s="230"/>
      <c r="H496" s="231"/>
      <c r="I496" s="231"/>
      <c r="J496" s="231"/>
      <c r="K496" s="231"/>
      <c r="L496" s="232"/>
      <c r="M496" s="231"/>
      <c r="N496" s="232"/>
    </row>
    <row r="497" spans="2:14" s="228" customFormat="1" x14ac:dyDescent="0.2">
      <c r="B497" s="229"/>
      <c r="C497" s="230"/>
      <c r="D497" s="230"/>
      <c r="E497" s="230"/>
      <c r="F497" s="230"/>
      <c r="G497" s="230"/>
      <c r="H497" s="231"/>
      <c r="I497" s="231"/>
      <c r="J497" s="231"/>
      <c r="K497" s="231"/>
      <c r="L497" s="232"/>
      <c r="M497" s="231"/>
      <c r="N497" s="232"/>
    </row>
    <row r="498" spans="2:14" s="228" customFormat="1" x14ac:dyDescent="0.2">
      <c r="B498" s="229"/>
      <c r="C498" s="230"/>
      <c r="D498" s="230"/>
      <c r="E498" s="230"/>
      <c r="F498" s="230"/>
      <c r="G498" s="230"/>
      <c r="H498" s="231"/>
      <c r="I498" s="231"/>
      <c r="J498" s="231"/>
      <c r="K498" s="231"/>
      <c r="L498" s="232"/>
      <c r="M498" s="231"/>
      <c r="N498" s="232"/>
    </row>
    <row r="499" spans="2:14" s="228" customFormat="1" x14ac:dyDescent="0.2">
      <c r="B499" s="229"/>
      <c r="C499" s="230"/>
      <c r="D499" s="230"/>
      <c r="E499" s="230"/>
      <c r="F499" s="230"/>
      <c r="G499" s="230"/>
      <c r="H499" s="231"/>
      <c r="I499" s="231"/>
      <c r="J499" s="231"/>
      <c r="K499" s="231"/>
      <c r="L499" s="232"/>
      <c r="M499" s="231"/>
      <c r="N499" s="232"/>
    </row>
    <row r="500" spans="2:14" s="228" customFormat="1" x14ac:dyDescent="0.2">
      <c r="B500" s="229"/>
      <c r="C500" s="230"/>
      <c r="D500" s="230"/>
      <c r="E500" s="230"/>
      <c r="F500" s="230"/>
      <c r="G500" s="230"/>
      <c r="H500" s="231"/>
      <c r="I500" s="231"/>
      <c r="J500" s="231"/>
      <c r="K500" s="231"/>
      <c r="L500" s="232"/>
      <c r="M500" s="231"/>
      <c r="N500" s="232"/>
    </row>
    <row r="501" spans="2:14" s="228" customFormat="1" x14ac:dyDescent="0.2">
      <c r="B501" s="229"/>
      <c r="C501" s="230"/>
      <c r="D501" s="230"/>
      <c r="E501" s="230"/>
      <c r="F501" s="230"/>
      <c r="G501" s="230"/>
      <c r="H501" s="231"/>
      <c r="I501" s="231"/>
      <c r="J501" s="231"/>
      <c r="K501" s="231"/>
      <c r="L501" s="232"/>
      <c r="M501" s="231"/>
      <c r="N501" s="232"/>
    </row>
    <row r="502" spans="2:14" s="228" customFormat="1" x14ac:dyDescent="0.2">
      <c r="B502" s="229"/>
      <c r="C502" s="230"/>
      <c r="D502" s="230"/>
      <c r="E502" s="230"/>
      <c r="F502" s="230"/>
      <c r="G502" s="230"/>
      <c r="H502" s="231"/>
      <c r="I502" s="231"/>
      <c r="J502" s="231"/>
      <c r="K502" s="231"/>
      <c r="L502" s="232"/>
      <c r="M502" s="231"/>
      <c r="N502" s="232"/>
    </row>
    <row r="503" spans="2:14" s="228" customFormat="1" x14ac:dyDescent="0.2">
      <c r="B503" s="229"/>
      <c r="C503" s="230"/>
      <c r="D503" s="230"/>
      <c r="E503" s="230"/>
      <c r="F503" s="230"/>
      <c r="G503" s="230"/>
      <c r="H503" s="231"/>
      <c r="I503" s="231"/>
      <c r="J503" s="231"/>
      <c r="K503" s="231"/>
      <c r="L503" s="232"/>
      <c r="M503" s="231"/>
      <c r="N503" s="232"/>
    </row>
    <row r="504" spans="2:14" s="228" customFormat="1" x14ac:dyDescent="0.2">
      <c r="B504" s="229"/>
      <c r="C504" s="230"/>
      <c r="D504" s="230"/>
      <c r="E504" s="230"/>
      <c r="F504" s="230"/>
      <c r="G504" s="230"/>
      <c r="H504" s="231"/>
      <c r="I504" s="231"/>
      <c r="J504" s="231"/>
      <c r="K504" s="231"/>
      <c r="L504" s="232"/>
      <c r="M504" s="231"/>
      <c r="N504" s="232"/>
    </row>
    <row r="505" spans="2:14" s="228" customFormat="1" x14ac:dyDescent="0.2">
      <c r="B505" s="229"/>
      <c r="C505" s="230"/>
      <c r="D505" s="230"/>
      <c r="E505" s="230"/>
      <c r="F505" s="230"/>
      <c r="G505" s="230"/>
      <c r="H505" s="231"/>
      <c r="I505" s="231"/>
      <c r="J505" s="231"/>
      <c r="K505" s="231"/>
      <c r="L505" s="232"/>
      <c r="M505" s="231"/>
      <c r="N505" s="232"/>
    </row>
    <row r="506" spans="2:14" s="228" customFormat="1" x14ac:dyDescent="0.2">
      <c r="B506" s="229"/>
      <c r="C506" s="230"/>
      <c r="D506" s="230"/>
      <c r="E506" s="230"/>
      <c r="F506" s="230"/>
      <c r="G506" s="230"/>
      <c r="H506" s="231"/>
      <c r="I506" s="231"/>
      <c r="J506" s="231"/>
      <c r="K506" s="231"/>
      <c r="L506" s="232"/>
      <c r="M506" s="231"/>
      <c r="N506" s="232"/>
    </row>
    <row r="507" spans="2:14" s="228" customFormat="1" x14ac:dyDescent="0.2">
      <c r="B507" s="229"/>
      <c r="C507" s="230"/>
      <c r="D507" s="230"/>
      <c r="E507" s="230"/>
      <c r="F507" s="230"/>
      <c r="G507" s="230"/>
      <c r="H507" s="231"/>
      <c r="I507" s="231"/>
      <c r="J507" s="231"/>
      <c r="K507" s="231"/>
      <c r="L507" s="232"/>
      <c r="M507" s="231"/>
      <c r="N507" s="232"/>
    </row>
    <row r="508" spans="2:14" s="228" customFormat="1" x14ac:dyDescent="0.2">
      <c r="B508" s="229"/>
      <c r="C508" s="230"/>
      <c r="D508" s="230"/>
      <c r="E508" s="230"/>
      <c r="F508" s="230"/>
      <c r="G508" s="230"/>
      <c r="H508" s="231"/>
      <c r="I508" s="231"/>
      <c r="J508" s="231"/>
      <c r="K508" s="231"/>
      <c r="L508" s="232"/>
      <c r="M508" s="231"/>
      <c r="N508" s="232"/>
    </row>
    <row r="509" spans="2:14" s="228" customFormat="1" x14ac:dyDescent="0.2">
      <c r="B509" s="229"/>
      <c r="C509" s="230"/>
      <c r="D509" s="230"/>
      <c r="E509" s="230"/>
      <c r="F509" s="230"/>
      <c r="G509" s="230"/>
      <c r="H509" s="231"/>
      <c r="I509" s="231"/>
      <c r="J509" s="231"/>
      <c r="K509" s="231"/>
      <c r="L509" s="232"/>
      <c r="M509" s="231"/>
      <c r="N509" s="232"/>
    </row>
    <row r="510" spans="2:14" s="228" customFormat="1" x14ac:dyDescent="0.2">
      <c r="B510" s="229"/>
      <c r="C510" s="230"/>
      <c r="D510" s="230"/>
      <c r="E510" s="230"/>
      <c r="F510" s="230"/>
      <c r="G510" s="230"/>
      <c r="H510" s="231"/>
      <c r="I510" s="231"/>
      <c r="J510" s="231"/>
      <c r="K510" s="231"/>
      <c r="L510" s="232"/>
      <c r="M510" s="231"/>
      <c r="N510" s="232"/>
    </row>
    <row r="511" spans="2:14" s="228" customFormat="1" x14ac:dyDescent="0.2">
      <c r="B511" s="229"/>
      <c r="C511" s="230"/>
      <c r="D511" s="230"/>
      <c r="E511" s="230"/>
      <c r="F511" s="230"/>
      <c r="G511" s="230"/>
      <c r="H511" s="231"/>
      <c r="I511" s="231"/>
      <c r="J511" s="231"/>
      <c r="K511" s="231"/>
      <c r="L511" s="232"/>
      <c r="M511" s="231"/>
      <c r="N511" s="232"/>
    </row>
    <row r="512" spans="2:14" s="228" customFormat="1" x14ac:dyDescent="0.2">
      <c r="B512" s="229"/>
      <c r="C512" s="230"/>
      <c r="D512" s="230"/>
      <c r="E512" s="230"/>
      <c r="F512" s="230"/>
      <c r="G512" s="230"/>
      <c r="H512" s="231"/>
      <c r="I512" s="231"/>
      <c r="J512" s="231"/>
      <c r="K512" s="231"/>
      <c r="L512" s="232"/>
      <c r="M512" s="231"/>
      <c r="N512" s="232"/>
    </row>
    <row r="513" spans="2:14" s="228" customFormat="1" x14ac:dyDescent="0.2">
      <c r="B513" s="229"/>
      <c r="C513" s="230"/>
      <c r="D513" s="230"/>
      <c r="E513" s="230"/>
      <c r="F513" s="230"/>
      <c r="G513" s="230"/>
      <c r="H513" s="231"/>
      <c r="I513" s="231"/>
      <c r="J513" s="231"/>
      <c r="K513" s="231"/>
      <c r="L513" s="232"/>
      <c r="M513" s="231"/>
      <c r="N513" s="232"/>
    </row>
    <row r="514" spans="2:14" s="228" customFormat="1" x14ac:dyDescent="0.2">
      <c r="B514" s="229"/>
      <c r="C514" s="230"/>
      <c r="D514" s="230"/>
      <c r="E514" s="230"/>
      <c r="F514" s="230"/>
      <c r="G514" s="230"/>
      <c r="H514" s="231"/>
      <c r="I514" s="231"/>
      <c r="J514" s="231"/>
      <c r="K514" s="231"/>
      <c r="L514" s="232"/>
      <c r="M514" s="231"/>
      <c r="N514" s="232"/>
    </row>
    <row r="515" spans="2:14" s="228" customFormat="1" x14ac:dyDescent="0.2">
      <c r="B515" s="229"/>
      <c r="C515" s="230"/>
      <c r="D515" s="230"/>
      <c r="E515" s="230"/>
      <c r="F515" s="230"/>
      <c r="G515" s="230"/>
      <c r="H515" s="231"/>
      <c r="I515" s="231"/>
      <c r="J515" s="231"/>
      <c r="K515" s="231"/>
      <c r="L515" s="232"/>
      <c r="M515" s="231"/>
      <c r="N515" s="232"/>
    </row>
    <row r="516" spans="2:14" s="228" customFormat="1" x14ac:dyDescent="0.2">
      <c r="B516" s="229"/>
      <c r="C516" s="230"/>
      <c r="D516" s="230"/>
      <c r="E516" s="230"/>
      <c r="F516" s="230"/>
      <c r="G516" s="230"/>
      <c r="H516" s="231"/>
      <c r="I516" s="231"/>
      <c r="J516" s="231"/>
      <c r="K516" s="231"/>
      <c r="L516" s="232"/>
      <c r="M516" s="231"/>
      <c r="N516" s="232"/>
    </row>
    <row r="517" spans="2:14" s="228" customFormat="1" x14ac:dyDescent="0.2">
      <c r="B517" s="229"/>
      <c r="C517" s="230"/>
      <c r="D517" s="230"/>
      <c r="E517" s="230"/>
      <c r="F517" s="230"/>
      <c r="G517" s="230"/>
      <c r="H517" s="231"/>
      <c r="I517" s="231"/>
      <c r="J517" s="231"/>
      <c r="K517" s="231"/>
      <c r="L517" s="232"/>
      <c r="M517" s="231"/>
      <c r="N517" s="232"/>
    </row>
    <row r="518" spans="2:14" s="228" customFormat="1" x14ac:dyDescent="0.2">
      <c r="B518" s="229"/>
      <c r="C518" s="230"/>
      <c r="D518" s="230"/>
      <c r="E518" s="230"/>
      <c r="F518" s="230"/>
      <c r="G518" s="230"/>
      <c r="H518" s="231"/>
      <c r="I518" s="231"/>
      <c r="J518" s="231"/>
      <c r="K518" s="231"/>
      <c r="L518" s="232"/>
      <c r="M518" s="231"/>
      <c r="N518" s="232"/>
    </row>
    <row r="519" spans="2:14" s="228" customFormat="1" x14ac:dyDescent="0.2">
      <c r="B519" s="229"/>
      <c r="C519" s="230"/>
      <c r="D519" s="230"/>
      <c r="E519" s="230"/>
      <c r="F519" s="230"/>
      <c r="G519" s="230"/>
      <c r="H519" s="231"/>
      <c r="I519" s="231"/>
      <c r="J519" s="231"/>
      <c r="K519" s="231"/>
      <c r="L519" s="232"/>
      <c r="M519" s="231"/>
      <c r="N519" s="232"/>
    </row>
    <row r="520" spans="2:14" s="228" customFormat="1" x14ac:dyDescent="0.2">
      <c r="B520" s="229"/>
      <c r="C520" s="230"/>
      <c r="D520" s="230"/>
      <c r="E520" s="230"/>
      <c r="F520" s="230"/>
      <c r="G520" s="230"/>
      <c r="H520" s="231"/>
      <c r="I520" s="231"/>
      <c r="J520" s="231"/>
      <c r="K520" s="231"/>
      <c r="L520" s="232"/>
      <c r="M520" s="231"/>
      <c r="N520" s="232"/>
    </row>
    <row r="521" spans="2:14" s="228" customFormat="1" x14ac:dyDescent="0.2">
      <c r="B521" s="229"/>
      <c r="C521" s="230"/>
      <c r="D521" s="230"/>
      <c r="E521" s="230"/>
      <c r="F521" s="230"/>
      <c r="G521" s="230"/>
      <c r="H521" s="231"/>
      <c r="I521" s="231"/>
      <c r="J521" s="231"/>
      <c r="K521" s="231"/>
      <c r="L521" s="232"/>
      <c r="M521" s="231"/>
      <c r="N521" s="232"/>
    </row>
    <row r="522" spans="2:14" s="228" customFormat="1" x14ac:dyDescent="0.2">
      <c r="B522" s="229"/>
      <c r="C522" s="230"/>
      <c r="D522" s="230"/>
      <c r="E522" s="230"/>
      <c r="F522" s="230"/>
      <c r="G522" s="230"/>
      <c r="H522" s="231"/>
      <c r="I522" s="231"/>
      <c r="J522" s="231"/>
      <c r="K522" s="231"/>
      <c r="L522" s="232"/>
      <c r="M522" s="231"/>
      <c r="N522" s="232"/>
    </row>
    <row r="523" spans="2:14" s="228" customFormat="1" x14ac:dyDescent="0.2">
      <c r="B523" s="229"/>
      <c r="C523" s="230"/>
      <c r="D523" s="230"/>
      <c r="E523" s="230"/>
      <c r="F523" s="230"/>
      <c r="G523" s="230"/>
      <c r="H523" s="231"/>
      <c r="I523" s="231"/>
      <c r="J523" s="231"/>
      <c r="K523" s="231"/>
      <c r="L523" s="232"/>
      <c r="M523" s="231"/>
      <c r="N523" s="232"/>
    </row>
    <row r="524" spans="2:14" s="228" customFormat="1" x14ac:dyDescent="0.2">
      <c r="B524" s="229"/>
      <c r="C524" s="230"/>
      <c r="D524" s="230"/>
      <c r="E524" s="230"/>
      <c r="F524" s="230"/>
      <c r="G524" s="230"/>
      <c r="H524" s="231"/>
      <c r="I524" s="231"/>
      <c r="J524" s="231"/>
      <c r="K524" s="231"/>
      <c r="L524" s="232"/>
      <c r="M524" s="231"/>
      <c r="N524" s="232"/>
    </row>
    <row r="525" spans="2:14" s="228" customFormat="1" x14ac:dyDescent="0.2">
      <c r="B525" s="229"/>
      <c r="C525" s="230"/>
      <c r="D525" s="230"/>
      <c r="E525" s="230"/>
      <c r="F525" s="230"/>
      <c r="G525" s="230"/>
      <c r="H525" s="231"/>
      <c r="I525" s="231"/>
      <c r="J525" s="231"/>
      <c r="K525" s="231"/>
      <c r="L525" s="232"/>
      <c r="M525" s="231"/>
      <c r="N525" s="232"/>
    </row>
    <row r="526" spans="2:14" s="228" customFormat="1" x14ac:dyDescent="0.2">
      <c r="B526" s="229"/>
      <c r="C526" s="230"/>
      <c r="D526" s="230"/>
      <c r="E526" s="230"/>
      <c r="F526" s="230"/>
      <c r="G526" s="230"/>
      <c r="H526" s="231"/>
      <c r="I526" s="231"/>
      <c r="J526" s="231"/>
      <c r="K526" s="231"/>
      <c r="L526" s="232"/>
      <c r="M526" s="231"/>
      <c r="N526" s="232"/>
    </row>
    <row r="527" spans="2:14" s="228" customFormat="1" x14ac:dyDescent="0.2">
      <c r="B527" s="229"/>
      <c r="C527" s="230"/>
      <c r="D527" s="230"/>
      <c r="E527" s="230"/>
      <c r="F527" s="230"/>
      <c r="G527" s="230"/>
      <c r="H527" s="231"/>
      <c r="I527" s="231"/>
      <c r="J527" s="231"/>
      <c r="K527" s="231"/>
      <c r="L527" s="232"/>
      <c r="M527" s="231"/>
      <c r="N527" s="232"/>
    </row>
    <row r="528" spans="2:14" s="228" customFormat="1" x14ac:dyDescent="0.2">
      <c r="B528" s="229"/>
      <c r="C528" s="230"/>
      <c r="D528" s="230"/>
      <c r="E528" s="230"/>
      <c r="F528" s="230"/>
      <c r="G528" s="230"/>
      <c r="H528" s="231"/>
      <c r="I528" s="231"/>
      <c r="J528" s="231"/>
      <c r="K528" s="231"/>
      <c r="L528" s="232"/>
      <c r="M528" s="231"/>
      <c r="N528" s="232"/>
    </row>
    <row r="529" spans="2:14" s="228" customFormat="1" x14ac:dyDescent="0.2">
      <c r="B529" s="229"/>
      <c r="C529" s="230"/>
      <c r="D529" s="230"/>
      <c r="E529" s="230"/>
      <c r="F529" s="230"/>
      <c r="G529" s="230"/>
      <c r="H529" s="231"/>
      <c r="I529" s="231"/>
      <c r="J529" s="231"/>
      <c r="K529" s="231"/>
      <c r="L529" s="232"/>
      <c r="M529" s="231"/>
      <c r="N529" s="232"/>
    </row>
    <row r="530" spans="2:14" s="228" customFormat="1" x14ac:dyDescent="0.2">
      <c r="B530" s="229"/>
      <c r="C530" s="230"/>
      <c r="D530" s="230"/>
      <c r="E530" s="230"/>
      <c r="F530" s="230"/>
      <c r="G530" s="230"/>
      <c r="H530" s="231"/>
      <c r="I530" s="231"/>
      <c r="J530" s="231"/>
      <c r="K530" s="231"/>
      <c r="L530" s="232"/>
      <c r="M530" s="231"/>
      <c r="N530" s="232"/>
    </row>
    <row r="531" spans="2:14" s="228" customFormat="1" x14ac:dyDescent="0.2">
      <c r="B531" s="229"/>
      <c r="C531" s="230"/>
      <c r="D531" s="230"/>
      <c r="E531" s="230"/>
      <c r="F531" s="230"/>
      <c r="G531" s="230"/>
      <c r="H531" s="231"/>
      <c r="I531" s="231"/>
      <c r="J531" s="231"/>
      <c r="K531" s="231"/>
      <c r="L531" s="232"/>
      <c r="M531" s="231"/>
      <c r="N531" s="232"/>
    </row>
    <row r="532" spans="2:14" s="228" customFormat="1" x14ac:dyDescent="0.2">
      <c r="B532" s="229"/>
      <c r="C532" s="230"/>
      <c r="D532" s="230"/>
      <c r="E532" s="230"/>
      <c r="F532" s="230"/>
      <c r="G532" s="230"/>
      <c r="H532" s="231"/>
      <c r="I532" s="231"/>
      <c r="J532" s="231"/>
      <c r="K532" s="231"/>
      <c r="L532" s="232"/>
      <c r="M532" s="231"/>
      <c r="N532" s="232"/>
    </row>
    <row r="533" spans="2:14" s="228" customFormat="1" x14ac:dyDescent="0.2">
      <c r="B533" s="229"/>
      <c r="C533" s="230"/>
      <c r="D533" s="230"/>
      <c r="E533" s="230"/>
      <c r="F533" s="230"/>
      <c r="G533" s="230"/>
      <c r="H533" s="231"/>
      <c r="I533" s="231"/>
      <c r="J533" s="231"/>
      <c r="K533" s="231"/>
      <c r="L533" s="232"/>
      <c r="M533" s="231"/>
      <c r="N533" s="232"/>
    </row>
    <row r="534" spans="2:14" s="228" customFormat="1" x14ac:dyDescent="0.2">
      <c r="B534" s="229"/>
      <c r="C534" s="230"/>
      <c r="D534" s="230"/>
      <c r="E534" s="230"/>
      <c r="F534" s="230"/>
      <c r="G534" s="230"/>
      <c r="H534" s="231"/>
      <c r="I534" s="231"/>
      <c r="J534" s="231"/>
      <c r="K534" s="231"/>
      <c r="L534" s="232"/>
      <c r="M534" s="231"/>
      <c r="N534" s="232"/>
    </row>
    <row r="535" spans="2:14" s="228" customFormat="1" x14ac:dyDescent="0.2">
      <c r="B535" s="229"/>
      <c r="C535" s="230"/>
      <c r="D535" s="230"/>
      <c r="E535" s="230"/>
      <c r="F535" s="230"/>
      <c r="G535" s="230"/>
      <c r="H535" s="231"/>
      <c r="I535" s="231"/>
      <c r="J535" s="231"/>
      <c r="K535" s="231"/>
      <c r="L535" s="232"/>
      <c r="M535" s="231"/>
      <c r="N535" s="232"/>
    </row>
    <row r="536" spans="2:14" s="228" customFormat="1" x14ac:dyDescent="0.2">
      <c r="B536" s="229"/>
      <c r="C536" s="230"/>
      <c r="D536" s="230"/>
      <c r="E536" s="230"/>
      <c r="F536" s="230"/>
      <c r="G536" s="230"/>
      <c r="H536" s="231"/>
      <c r="I536" s="231"/>
      <c r="J536" s="231"/>
      <c r="K536" s="231"/>
      <c r="L536" s="232"/>
      <c r="M536" s="231"/>
      <c r="N536" s="232"/>
    </row>
    <row r="537" spans="2:14" s="228" customFormat="1" x14ac:dyDescent="0.2">
      <c r="B537" s="229"/>
      <c r="C537" s="230"/>
      <c r="D537" s="230"/>
      <c r="E537" s="230"/>
      <c r="F537" s="230"/>
      <c r="G537" s="230"/>
      <c r="H537" s="231"/>
      <c r="I537" s="231"/>
      <c r="J537" s="231"/>
      <c r="K537" s="231"/>
      <c r="L537" s="232"/>
      <c r="M537" s="231"/>
      <c r="N537" s="232"/>
    </row>
    <row r="538" spans="2:14" s="228" customFormat="1" x14ac:dyDescent="0.2">
      <c r="B538" s="229"/>
      <c r="C538" s="230"/>
      <c r="D538" s="230"/>
      <c r="E538" s="230"/>
      <c r="F538" s="230"/>
      <c r="G538" s="230"/>
      <c r="H538" s="231"/>
      <c r="I538" s="231"/>
      <c r="J538" s="231"/>
      <c r="K538" s="231"/>
      <c r="L538" s="232"/>
      <c r="M538" s="231"/>
      <c r="N538" s="232"/>
    </row>
    <row r="539" spans="2:14" s="228" customFormat="1" x14ac:dyDescent="0.2">
      <c r="B539" s="229"/>
      <c r="C539" s="230"/>
      <c r="D539" s="230"/>
      <c r="E539" s="230"/>
      <c r="F539" s="230"/>
      <c r="G539" s="230"/>
      <c r="H539" s="231"/>
      <c r="I539" s="231"/>
      <c r="J539" s="231"/>
      <c r="K539" s="231"/>
      <c r="L539" s="232"/>
      <c r="M539" s="231"/>
      <c r="N539" s="232"/>
    </row>
    <row r="540" spans="2:14" s="228" customFormat="1" x14ac:dyDescent="0.2">
      <c r="B540" s="229"/>
      <c r="C540" s="230"/>
      <c r="D540" s="230"/>
      <c r="E540" s="230"/>
      <c r="F540" s="230"/>
      <c r="G540" s="230"/>
      <c r="H540" s="231"/>
      <c r="I540" s="231"/>
      <c r="J540" s="231"/>
      <c r="K540" s="231"/>
      <c r="L540" s="232"/>
      <c r="M540" s="231"/>
      <c r="N540" s="232"/>
    </row>
    <row r="541" spans="2:14" s="228" customFormat="1" x14ac:dyDescent="0.2">
      <c r="B541" s="229"/>
      <c r="C541" s="230"/>
      <c r="D541" s="230"/>
      <c r="E541" s="230"/>
      <c r="F541" s="230"/>
      <c r="G541" s="230"/>
      <c r="H541" s="231"/>
      <c r="I541" s="231"/>
      <c r="J541" s="231"/>
      <c r="K541" s="231"/>
      <c r="L541" s="232"/>
      <c r="M541" s="231"/>
      <c r="N541" s="232"/>
    </row>
    <row r="542" spans="2:14" s="228" customFormat="1" x14ac:dyDescent="0.2">
      <c r="B542" s="229"/>
      <c r="C542" s="230"/>
      <c r="D542" s="230"/>
      <c r="E542" s="230"/>
      <c r="F542" s="230"/>
      <c r="G542" s="230"/>
      <c r="H542" s="231"/>
      <c r="I542" s="231"/>
      <c r="J542" s="231"/>
      <c r="K542" s="231"/>
      <c r="L542" s="232"/>
      <c r="M542" s="231"/>
      <c r="N542" s="232"/>
    </row>
    <row r="543" spans="2:14" s="228" customFormat="1" x14ac:dyDescent="0.2">
      <c r="B543" s="229"/>
      <c r="C543" s="230"/>
      <c r="D543" s="230"/>
      <c r="E543" s="230"/>
      <c r="F543" s="230"/>
      <c r="G543" s="230"/>
      <c r="H543" s="231"/>
      <c r="I543" s="231"/>
      <c r="J543" s="231"/>
      <c r="K543" s="231"/>
      <c r="L543" s="232"/>
      <c r="M543" s="231"/>
      <c r="N543" s="232"/>
    </row>
    <row r="544" spans="2:14" s="228" customFormat="1" x14ac:dyDescent="0.2">
      <c r="B544" s="229"/>
      <c r="C544" s="230"/>
      <c r="D544" s="230"/>
      <c r="E544" s="230"/>
      <c r="F544" s="230"/>
      <c r="G544" s="230"/>
      <c r="H544" s="231"/>
      <c r="I544" s="231"/>
      <c r="J544" s="231"/>
      <c r="K544" s="231"/>
      <c r="L544" s="232"/>
      <c r="M544" s="231"/>
      <c r="N544" s="232"/>
    </row>
    <row r="545" spans="2:14" s="228" customFormat="1" x14ac:dyDescent="0.2">
      <c r="B545" s="229"/>
      <c r="C545" s="230"/>
      <c r="D545" s="230"/>
      <c r="E545" s="230"/>
      <c r="F545" s="230"/>
      <c r="G545" s="230"/>
      <c r="H545" s="231"/>
      <c r="I545" s="231"/>
      <c r="J545" s="231"/>
      <c r="K545" s="231"/>
      <c r="L545" s="232"/>
      <c r="M545" s="231"/>
      <c r="N545" s="232"/>
    </row>
    <row r="546" spans="2:14" s="228" customFormat="1" x14ac:dyDescent="0.2">
      <c r="B546" s="229"/>
      <c r="C546" s="230"/>
      <c r="D546" s="230"/>
      <c r="E546" s="230"/>
      <c r="F546" s="230"/>
      <c r="G546" s="230"/>
      <c r="H546" s="231"/>
      <c r="I546" s="231"/>
      <c r="J546" s="231"/>
      <c r="K546" s="231"/>
      <c r="L546" s="232"/>
      <c r="M546" s="231"/>
      <c r="N546" s="232"/>
    </row>
    <row r="547" spans="2:14" s="228" customFormat="1" x14ac:dyDescent="0.2">
      <c r="B547" s="229"/>
      <c r="C547" s="230"/>
      <c r="D547" s="230"/>
      <c r="E547" s="230"/>
      <c r="F547" s="230"/>
      <c r="G547" s="230"/>
      <c r="H547" s="231"/>
      <c r="I547" s="231"/>
      <c r="J547" s="231"/>
      <c r="K547" s="231"/>
      <c r="L547" s="232"/>
      <c r="M547" s="231"/>
      <c r="N547" s="232"/>
    </row>
    <row r="548" spans="2:14" s="228" customFormat="1" x14ac:dyDescent="0.2">
      <c r="B548" s="229"/>
      <c r="C548" s="230"/>
      <c r="D548" s="230"/>
      <c r="E548" s="230"/>
      <c r="F548" s="230"/>
      <c r="G548" s="230"/>
      <c r="H548" s="231"/>
      <c r="I548" s="231"/>
      <c r="J548" s="231"/>
      <c r="K548" s="231"/>
      <c r="L548" s="232"/>
      <c r="M548" s="231"/>
      <c r="N548" s="232"/>
    </row>
    <row r="549" spans="2:14" s="228" customFormat="1" x14ac:dyDescent="0.2">
      <c r="B549" s="229"/>
      <c r="C549" s="230"/>
      <c r="D549" s="230"/>
      <c r="E549" s="230"/>
      <c r="F549" s="230"/>
      <c r="G549" s="230"/>
      <c r="H549" s="231"/>
      <c r="I549" s="231"/>
      <c r="J549" s="231"/>
      <c r="K549" s="231"/>
      <c r="L549" s="232"/>
      <c r="M549" s="231"/>
      <c r="N549" s="232"/>
    </row>
    <row r="550" spans="2:14" s="228" customFormat="1" x14ac:dyDescent="0.2">
      <c r="B550" s="229"/>
      <c r="C550" s="230"/>
      <c r="D550" s="230"/>
      <c r="E550" s="230"/>
      <c r="F550" s="230"/>
      <c r="G550" s="230"/>
      <c r="H550" s="231"/>
      <c r="I550" s="231"/>
      <c r="J550" s="231"/>
      <c r="K550" s="231"/>
      <c r="L550" s="232"/>
      <c r="M550" s="231"/>
      <c r="N550" s="232"/>
    </row>
    <row r="551" spans="2:14" s="228" customFormat="1" x14ac:dyDescent="0.2">
      <c r="B551" s="229"/>
      <c r="C551" s="230"/>
      <c r="D551" s="230"/>
      <c r="E551" s="230"/>
      <c r="F551" s="230"/>
      <c r="G551" s="230"/>
      <c r="H551" s="231"/>
      <c r="I551" s="231"/>
      <c r="J551" s="231"/>
      <c r="K551" s="231"/>
      <c r="L551" s="232"/>
      <c r="M551" s="231"/>
      <c r="N551" s="232"/>
    </row>
    <row r="552" spans="2:14" s="228" customFormat="1" x14ac:dyDescent="0.2">
      <c r="B552" s="229"/>
      <c r="C552" s="230"/>
      <c r="D552" s="230"/>
      <c r="E552" s="230"/>
      <c r="F552" s="230"/>
      <c r="G552" s="230"/>
      <c r="H552" s="231"/>
      <c r="I552" s="231"/>
      <c r="J552" s="231"/>
      <c r="K552" s="231"/>
      <c r="L552" s="232"/>
      <c r="M552" s="231"/>
      <c r="N552" s="232"/>
    </row>
    <row r="553" spans="2:14" s="228" customFormat="1" x14ac:dyDescent="0.2">
      <c r="B553" s="229"/>
      <c r="C553" s="230"/>
      <c r="D553" s="230"/>
      <c r="E553" s="230"/>
      <c r="F553" s="230"/>
      <c r="G553" s="230"/>
      <c r="H553" s="231"/>
      <c r="I553" s="231"/>
      <c r="J553" s="231"/>
      <c r="K553" s="231"/>
      <c r="L553" s="232"/>
      <c r="M553" s="231"/>
      <c r="N553" s="232"/>
    </row>
    <row r="554" spans="2:14" s="228" customFormat="1" x14ac:dyDescent="0.2">
      <c r="B554" s="229"/>
      <c r="C554" s="230"/>
      <c r="D554" s="230"/>
      <c r="E554" s="230"/>
      <c r="F554" s="230"/>
      <c r="G554" s="230"/>
      <c r="H554" s="231"/>
      <c r="I554" s="231"/>
      <c r="J554" s="231"/>
      <c r="K554" s="231"/>
      <c r="L554" s="232"/>
      <c r="M554" s="231"/>
      <c r="N554" s="232"/>
    </row>
    <row r="555" spans="2:14" s="228" customFormat="1" x14ac:dyDescent="0.2">
      <c r="B555" s="229"/>
      <c r="C555" s="230"/>
      <c r="D555" s="230"/>
      <c r="E555" s="230"/>
      <c r="F555" s="230"/>
      <c r="G555" s="230"/>
      <c r="H555" s="231"/>
      <c r="I555" s="231"/>
      <c r="J555" s="231"/>
      <c r="K555" s="231"/>
      <c r="L555" s="232"/>
      <c r="M555" s="231"/>
      <c r="N555" s="232"/>
    </row>
    <row r="556" spans="2:14" s="228" customFormat="1" x14ac:dyDescent="0.2">
      <c r="B556" s="229"/>
      <c r="C556" s="230"/>
      <c r="D556" s="230"/>
      <c r="E556" s="230"/>
      <c r="F556" s="230"/>
      <c r="G556" s="230"/>
      <c r="H556" s="231"/>
      <c r="I556" s="231"/>
      <c r="J556" s="231"/>
      <c r="K556" s="231"/>
      <c r="L556" s="232"/>
      <c r="M556" s="231"/>
      <c r="N556" s="232"/>
    </row>
    <row r="557" spans="2:14" s="228" customFormat="1" x14ac:dyDescent="0.2">
      <c r="B557" s="229"/>
      <c r="C557" s="230"/>
      <c r="D557" s="230"/>
      <c r="E557" s="230"/>
      <c r="F557" s="230"/>
      <c r="G557" s="230"/>
      <c r="H557" s="231"/>
      <c r="I557" s="231"/>
      <c r="J557" s="231"/>
      <c r="K557" s="231"/>
      <c r="L557" s="232"/>
      <c r="M557" s="231"/>
      <c r="N557" s="232"/>
    </row>
    <row r="558" spans="2:14" s="228" customFormat="1" x14ac:dyDescent="0.2">
      <c r="B558" s="229"/>
      <c r="C558" s="230"/>
      <c r="D558" s="230"/>
      <c r="E558" s="230"/>
      <c r="F558" s="230"/>
      <c r="G558" s="230"/>
      <c r="H558" s="231"/>
      <c r="I558" s="231"/>
      <c r="J558" s="231"/>
      <c r="K558" s="231"/>
      <c r="L558" s="232"/>
      <c r="M558" s="231"/>
      <c r="N558" s="232"/>
    </row>
    <row r="559" spans="2:14" s="228" customFormat="1" x14ac:dyDescent="0.2">
      <c r="B559" s="229"/>
      <c r="C559" s="230"/>
      <c r="D559" s="230"/>
      <c r="E559" s="230"/>
      <c r="F559" s="230"/>
      <c r="G559" s="230"/>
      <c r="H559" s="231"/>
      <c r="I559" s="231"/>
      <c r="J559" s="231"/>
      <c r="K559" s="231"/>
      <c r="L559" s="232"/>
      <c r="M559" s="231"/>
      <c r="N559" s="232"/>
    </row>
    <row r="560" spans="2:14" s="228" customFormat="1" x14ac:dyDescent="0.2">
      <c r="B560" s="229"/>
      <c r="C560" s="230"/>
      <c r="D560" s="230"/>
      <c r="E560" s="230"/>
      <c r="F560" s="230"/>
      <c r="G560" s="230"/>
      <c r="H560" s="231"/>
      <c r="I560" s="231"/>
      <c r="J560" s="231"/>
      <c r="K560" s="231"/>
      <c r="L560" s="232"/>
      <c r="M560" s="231"/>
      <c r="N560" s="232"/>
    </row>
    <row r="561" spans="2:14" s="228" customFormat="1" x14ac:dyDescent="0.2">
      <c r="B561" s="229"/>
      <c r="C561" s="230"/>
      <c r="D561" s="230"/>
      <c r="E561" s="230"/>
      <c r="F561" s="230"/>
      <c r="G561" s="230"/>
      <c r="H561" s="231"/>
      <c r="I561" s="231"/>
      <c r="J561" s="231"/>
      <c r="K561" s="231"/>
      <c r="L561" s="232"/>
      <c r="M561" s="231"/>
      <c r="N561" s="232"/>
    </row>
    <row r="562" spans="2:14" s="228" customFormat="1" x14ac:dyDescent="0.2">
      <c r="B562" s="229"/>
      <c r="C562" s="230"/>
      <c r="D562" s="230"/>
      <c r="E562" s="230"/>
      <c r="F562" s="230"/>
      <c r="G562" s="230"/>
      <c r="H562" s="231"/>
      <c r="I562" s="231"/>
      <c r="J562" s="231"/>
      <c r="K562" s="231"/>
      <c r="L562" s="232"/>
      <c r="M562" s="231"/>
      <c r="N562" s="232"/>
    </row>
    <row r="563" spans="2:14" s="228" customFormat="1" x14ac:dyDescent="0.2">
      <c r="B563" s="229"/>
      <c r="C563" s="230"/>
      <c r="D563" s="230"/>
      <c r="E563" s="230"/>
      <c r="F563" s="230"/>
      <c r="G563" s="230"/>
      <c r="H563" s="231"/>
      <c r="I563" s="231"/>
      <c r="J563" s="231"/>
      <c r="K563" s="231"/>
      <c r="L563" s="232"/>
      <c r="M563" s="231"/>
      <c r="N563" s="232"/>
    </row>
    <row r="564" spans="2:14" s="228" customFormat="1" x14ac:dyDescent="0.2">
      <c r="B564" s="229"/>
      <c r="C564" s="230"/>
      <c r="D564" s="230"/>
      <c r="E564" s="230"/>
      <c r="F564" s="230"/>
      <c r="G564" s="230"/>
      <c r="H564" s="231"/>
      <c r="I564" s="231"/>
      <c r="J564" s="231"/>
      <c r="K564" s="231"/>
      <c r="L564" s="232"/>
      <c r="M564" s="231"/>
      <c r="N564" s="232"/>
    </row>
    <row r="565" spans="2:14" s="228" customFormat="1" x14ac:dyDescent="0.2">
      <c r="B565" s="229"/>
      <c r="C565" s="230"/>
      <c r="D565" s="230"/>
      <c r="E565" s="230"/>
      <c r="F565" s="230"/>
      <c r="G565" s="230"/>
      <c r="H565" s="231"/>
      <c r="I565" s="231"/>
      <c r="J565" s="231"/>
      <c r="K565" s="231"/>
      <c r="L565" s="232"/>
      <c r="M565" s="231"/>
      <c r="N565" s="232"/>
    </row>
    <row r="566" spans="2:14" s="228" customFormat="1" x14ac:dyDescent="0.2">
      <c r="B566" s="229"/>
      <c r="C566" s="230"/>
      <c r="D566" s="230"/>
      <c r="E566" s="230"/>
      <c r="F566" s="230"/>
      <c r="G566" s="230"/>
      <c r="H566" s="231"/>
      <c r="I566" s="231"/>
      <c r="J566" s="231"/>
      <c r="K566" s="231"/>
      <c r="L566" s="232"/>
      <c r="M566" s="231"/>
      <c r="N566" s="232"/>
    </row>
    <row r="567" spans="2:14" s="228" customFormat="1" x14ac:dyDescent="0.2">
      <c r="B567" s="229"/>
      <c r="C567" s="230"/>
      <c r="D567" s="230"/>
      <c r="E567" s="230"/>
      <c r="F567" s="230"/>
      <c r="G567" s="230"/>
      <c r="H567" s="231"/>
      <c r="I567" s="231"/>
      <c r="J567" s="231"/>
      <c r="K567" s="231"/>
      <c r="L567" s="232"/>
      <c r="M567" s="231"/>
      <c r="N567" s="232"/>
    </row>
    <row r="568" spans="2:14" s="228" customFormat="1" x14ac:dyDescent="0.2">
      <c r="B568" s="229"/>
      <c r="C568" s="230"/>
      <c r="D568" s="230"/>
      <c r="E568" s="230"/>
      <c r="F568" s="230"/>
      <c r="G568" s="230"/>
      <c r="H568" s="231"/>
      <c r="I568" s="231"/>
      <c r="J568" s="231"/>
      <c r="K568" s="231"/>
      <c r="L568" s="232"/>
      <c r="M568" s="231"/>
      <c r="N568" s="232"/>
    </row>
    <row r="569" spans="2:14" s="228" customFormat="1" x14ac:dyDescent="0.2">
      <c r="B569" s="229"/>
      <c r="C569" s="230"/>
      <c r="D569" s="230"/>
      <c r="E569" s="230"/>
      <c r="F569" s="230"/>
      <c r="G569" s="230"/>
      <c r="H569" s="231"/>
      <c r="I569" s="231"/>
      <c r="J569" s="231"/>
      <c r="K569" s="231"/>
      <c r="L569" s="232"/>
      <c r="M569" s="231"/>
      <c r="N569" s="232"/>
    </row>
    <row r="570" spans="2:14" s="228" customFormat="1" x14ac:dyDescent="0.2">
      <c r="B570" s="229"/>
      <c r="C570" s="230"/>
      <c r="D570" s="230"/>
      <c r="E570" s="230"/>
      <c r="F570" s="230"/>
      <c r="G570" s="230"/>
      <c r="H570" s="231"/>
      <c r="I570" s="231"/>
      <c r="J570" s="231"/>
      <c r="K570" s="231"/>
      <c r="L570" s="232"/>
      <c r="M570" s="231"/>
      <c r="N570" s="232"/>
    </row>
    <row r="571" spans="2:14" s="228" customFormat="1" x14ac:dyDescent="0.2">
      <c r="B571" s="229"/>
      <c r="C571" s="230"/>
      <c r="D571" s="230"/>
      <c r="E571" s="230"/>
      <c r="F571" s="230"/>
      <c r="G571" s="230"/>
      <c r="H571" s="231"/>
      <c r="I571" s="231"/>
      <c r="J571" s="231"/>
      <c r="K571" s="231"/>
      <c r="L571" s="232"/>
      <c r="M571" s="231"/>
      <c r="N571" s="232"/>
    </row>
    <row r="572" spans="2:14" s="228" customFormat="1" x14ac:dyDescent="0.2">
      <c r="B572" s="229"/>
      <c r="C572" s="230"/>
      <c r="D572" s="230"/>
      <c r="E572" s="230"/>
      <c r="F572" s="230"/>
      <c r="G572" s="230"/>
      <c r="H572" s="231"/>
      <c r="I572" s="231"/>
      <c r="J572" s="231"/>
      <c r="K572" s="231"/>
      <c r="L572" s="232"/>
      <c r="M572" s="231"/>
      <c r="N572" s="232"/>
    </row>
    <row r="573" spans="2:14" s="228" customFormat="1" x14ac:dyDescent="0.2">
      <c r="B573" s="229"/>
      <c r="C573" s="230"/>
      <c r="D573" s="230"/>
      <c r="E573" s="230"/>
      <c r="F573" s="230"/>
      <c r="G573" s="230"/>
      <c r="H573" s="231"/>
      <c r="I573" s="231"/>
      <c r="J573" s="231"/>
      <c r="K573" s="231"/>
      <c r="L573" s="232"/>
      <c r="M573" s="231"/>
      <c r="N573" s="232"/>
    </row>
    <row r="574" spans="2:14" s="228" customFormat="1" x14ac:dyDescent="0.2">
      <c r="B574" s="229"/>
      <c r="C574" s="230"/>
      <c r="D574" s="230"/>
      <c r="E574" s="230"/>
      <c r="F574" s="230"/>
      <c r="G574" s="230"/>
      <c r="H574" s="231"/>
      <c r="I574" s="231"/>
      <c r="J574" s="231"/>
      <c r="K574" s="231"/>
      <c r="L574" s="232"/>
      <c r="M574" s="231"/>
      <c r="N574" s="232"/>
    </row>
    <row r="575" spans="2:14" s="228" customFormat="1" x14ac:dyDescent="0.2">
      <c r="B575" s="229"/>
      <c r="C575" s="230"/>
      <c r="D575" s="230"/>
      <c r="E575" s="230"/>
      <c r="F575" s="230"/>
      <c r="G575" s="230"/>
      <c r="H575" s="231"/>
      <c r="I575" s="231"/>
      <c r="J575" s="231"/>
      <c r="K575" s="231"/>
      <c r="L575" s="232"/>
      <c r="M575" s="231"/>
      <c r="N575" s="232"/>
    </row>
    <row r="576" spans="2:14" s="228" customFormat="1" x14ac:dyDescent="0.2">
      <c r="B576" s="229"/>
      <c r="C576" s="230"/>
      <c r="D576" s="230"/>
      <c r="E576" s="230"/>
      <c r="F576" s="230"/>
      <c r="G576" s="230"/>
      <c r="H576" s="231"/>
      <c r="I576" s="231"/>
      <c r="J576" s="231"/>
      <c r="K576" s="231"/>
      <c r="L576" s="232"/>
      <c r="M576" s="231"/>
      <c r="N576" s="232"/>
    </row>
    <row r="577" spans="2:14" s="228" customFormat="1" x14ac:dyDescent="0.2">
      <c r="B577" s="229"/>
      <c r="C577" s="230"/>
      <c r="D577" s="230"/>
      <c r="E577" s="230"/>
      <c r="F577" s="230"/>
      <c r="G577" s="230"/>
      <c r="H577" s="231"/>
      <c r="I577" s="231"/>
      <c r="J577" s="231"/>
      <c r="K577" s="231"/>
      <c r="L577" s="232"/>
      <c r="M577" s="231"/>
      <c r="N577" s="232"/>
    </row>
    <row r="578" spans="2:14" s="228" customFormat="1" x14ac:dyDescent="0.2">
      <c r="B578" s="229"/>
      <c r="C578" s="230"/>
      <c r="D578" s="230"/>
      <c r="E578" s="230"/>
      <c r="F578" s="230"/>
      <c r="G578" s="230"/>
      <c r="H578" s="231"/>
      <c r="I578" s="231"/>
      <c r="J578" s="231"/>
      <c r="K578" s="231"/>
      <c r="L578" s="232"/>
      <c r="M578" s="231"/>
      <c r="N578" s="232"/>
    </row>
    <row r="579" spans="2:14" s="228" customFormat="1" x14ac:dyDescent="0.2">
      <c r="B579" s="229"/>
      <c r="C579" s="230"/>
      <c r="D579" s="230"/>
      <c r="E579" s="230"/>
      <c r="F579" s="230"/>
      <c r="G579" s="230"/>
      <c r="H579" s="231"/>
      <c r="I579" s="231"/>
      <c r="J579" s="231"/>
      <c r="K579" s="231"/>
      <c r="L579" s="232"/>
      <c r="M579" s="231"/>
      <c r="N579" s="232"/>
    </row>
    <row r="580" spans="2:14" s="228" customFormat="1" x14ac:dyDescent="0.2">
      <c r="B580" s="229"/>
      <c r="C580" s="230"/>
      <c r="D580" s="230"/>
      <c r="E580" s="230"/>
      <c r="F580" s="230"/>
      <c r="G580" s="230"/>
      <c r="H580" s="231"/>
      <c r="I580" s="231"/>
      <c r="J580" s="231"/>
      <c r="K580" s="231"/>
      <c r="L580" s="232"/>
      <c r="M580" s="231"/>
      <c r="N580" s="232"/>
    </row>
    <row r="581" spans="2:14" s="228" customFormat="1" x14ac:dyDescent="0.2">
      <c r="B581" s="229"/>
      <c r="C581" s="230"/>
      <c r="D581" s="230"/>
      <c r="E581" s="230"/>
      <c r="F581" s="230"/>
      <c r="G581" s="230"/>
      <c r="H581" s="231"/>
      <c r="I581" s="231"/>
      <c r="J581" s="231"/>
      <c r="K581" s="231"/>
      <c r="L581" s="232"/>
      <c r="M581" s="231"/>
      <c r="N581" s="232"/>
    </row>
    <row r="582" spans="2:14" s="228" customFormat="1" x14ac:dyDescent="0.2">
      <c r="B582" s="229"/>
      <c r="C582" s="230"/>
      <c r="D582" s="230"/>
      <c r="E582" s="230"/>
      <c r="F582" s="230"/>
      <c r="G582" s="230"/>
      <c r="H582" s="231"/>
      <c r="I582" s="231"/>
      <c r="J582" s="231"/>
      <c r="K582" s="231"/>
      <c r="L582" s="232"/>
      <c r="M582" s="231"/>
      <c r="N582" s="232"/>
    </row>
    <row r="583" spans="2:14" s="228" customFormat="1" x14ac:dyDescent="0.2">
      <c r="B583" s="229"/>
      <c r="C583" s="230"/>
      <c r="D583" s="230"/>
      <c r="E583" s="230"/>
      <c r="F583" s="230"/>
      <c r="G583" s="230"/>
      <c r="H583" s="231"/>
      <c r="I583" s="231"/>
      <c r="J583" s="231"/>
      <c r="K583" s="231"/>
      <c r="L583" s="232"/>
      <c r="M583" s="231"/>
      <c r="N583" s="232"/>
    </row>
    <row r="584" spans="2:14" s="228" customFormat="1" x14ac:dyDescent="0.2">
      <c r="B584" s="229"/>
      <c r="C584" s="230"/>
      <c r="D584" s="230"/>
      <c r="E584" s="230"/>
      <c r="F584" s="230"/>
      <c r="G584" s="230"/>
      <c r="H584" s="231"/>
      <c r="I584" s="231"/>
      <c r="J584" s="231"/>
      <c r="K584" s="231"/>
      <c r="L584" s="232"/>
      <c r="M584" s="231"/>
      <c r="N584" s="232"/>
    </row>
    <row r="585" spans="2:14" s="228" customFormat="1" x14ac:dyDescent="0.2">
      <c r="B585" s="229"/>
      <c r="C585" s="230"/>
      <c r="D585" s="230"/>
      <c r="E585" s="230"/>
      <c r="F585" s="230"/>
      <c r="G585" s="230"/>
      <c r="H585" s="231"/>
      <c r="I585" s="231"/>
      <c r="J585" s="231"/>
      <c r="K585" s="231"/>
      <c r="L585" s="232"/>
      <c r="M585" s="231"/>
      <c r="N585" s="232"/>
    </row>
    <row r="586" spans="2:14" s="228" customFormat="1" x14ac:dyDescent="0.2">
      <c r="B586" s="229"/>
      <c r="C586" s="230"/>
      <c r="D586" s="230"/>
      <c r="E586" s="230"/>
      <c r="F586" s="230"/>
      <c r="G586" s="230"/>
      <c r="H586" s="231"/>
      <c r="I586" s="231"/>
      <c r="J586" s="231"/>
      <c r="K586" s="231"/>
      <c r="L586" s="232"/>
      <c r="M586" s="231"/>
      <c r="N586" s="232"/>
    </row>
    <row r="587" spans="2:14" s="228" customFormat="1" x14ac:dyDescent="0.2">
      <c r="B587" s="229"/>
      <c r="C587" s="230"/>
      <c r="D587" s="230"/>
      <c r="E587" s="230"/>
      <c r="F587" s="230"/>
      <c r="G587" s="230"/>
      <c r="H587" s="231"/>
      <c r="I587" s="231"/>
      <c r="J587" s="231"/>
      <c r="K587" s="231"/>
      <c r="L587" s="232"/>
      <c r="M587" s="231"/>
      <c r="N587" s="232"/>
    </row>
    <row r="588" spans="2:14" s="228" customFormat="1" x14ac:dyDescent="0.2">
      <c r="B588" s="229"/>
      <c r="C588" s="230"/>
      <c r="D588" s="230"/>
      <c r="E588" s="230"/>
      <c r="F588" s="230"/>
      <c r="G588" s="230"/>
      <c r="H588" s="231"/>
      <c r="I588" s="231"/>
      <c r="J588" s="231"/>
      <c r="K588" s="231"/>
      <c r="L588" s="232"/>
      <c r="M588" s="231"/>
      <c r="N588" s="232"/>
    </row>
    <row r="589" spans="2:14" s="228" customFormat="1" x14ac:dyDescent="0.2">
      <c r="B589" s="229"/>
      <c r="C589" s="230"/>
      <c r="D589" s="230"/>
      <c r="E589" s="230"/>
      <c r="F589" s="230"/>
      <c r="G589" s="230"/>
      <c r="H589" s="231"/>
      <c r="I589" s="231"/>
      <c r="J589" s="231"/>
      <c r="K589" s="231"/>
      <c r="L589" s="232"/>
      <c r="M589" s="231"/>
      <c r="N589" s="232"/>
    </row>
    <row r="590" spans="2:14" s="228" customFormat="1" x14ac:dyDescent="0.2">
      <c r="B590" s="229"/>
      <c r="C590" s="230"/>
      <c r="D590" s="230"/>
      <c r="E590" s="230"/>
      <c r="F590" s="230"/>
      <c r="G590" s="230"/>
      <c r="H590" s="231"/>
      <c r="I590" s="231"/>
      <c r="J590" s="231"/>
      <c r="K590" s="231"/>
      <c r="L590" s="232"/>
      <c r="M590" s="231"/>
      <c r="N590" s="232"/>
    </row>
    <row r="591" spans="2:14" s="228" customFormat="1" x14ac:dyDescent="0.2">
      <c r="B591" s="229"/>
      <c r="C591" s="230"/>
      <c r="D591" s="230"/>
      <c r="E591" s="230"/>
      <c r="F591" s="230"/>
      <c r="G591" s="230"/>
      <c r="H591" s="231"/>
      <c r="I591" s="231"/>
      <c r="J591" s="231"/>
      <c r="K591" s="231"/>
      <c r="L591" s="232"/>
      <c r="M591" s="231"/>
      <c r="N591" s="232"/>
    </row>
    <row r="592" spans="2:14" s="228" customFormat="1" x14ac:dyDescent="0.2">
      <c r="B592" s="229"/>
      <c r="C592" s="230"/>
      <c r="D592" s="230"/>
      <c r="E592" s="230"/>
      <c r="F592" s="230"/>
      <c r="G592" s="230"/>
      <c r="H592" s="231"/>
      <c r="I592" s="231"/>
      <c r="J592" s="231"/>
      <c r="K592" s="231"/>
      <c r="L592" s="232"/>
      <c r="M592" s="231"/>
      <c r="N592" s="232"/>
    </row>
    <row r="593" spans="2:14" s="228" customFormat="1" x14ac:dyDescent="0.2">
      <c r="B593" s="229"/>
      <c r="C593" s="230"/>
      <c r="D593" s="230"/>
      <c r="E593" s="230"/>
      <c r="F593" s="230"/>
      <c r="G593" s="230"/>
      <c r="H593" s="231"/>
      <c r="I593" s="231"/>
      <c r="J593" s="231"/>
      <c r="K593" s="231"/>
      <c r="L593" s="232"/>
      <c r="M593" s="231"/>
      <c r="N593" s="232"/>
    </row>
    <row r="594" spans="2:14" s="228" customFormat="1" x14ac:dyDescent="0.2">
      <c r="B594" s="229"/>
      <c r="C594" s="230"/>
      <c r="D594" s="230"/>
      <c r="E594" s="230"/>
      <c r="F594" s="230"/>
      <c r="G594" s="230"/>
      <c r="H594" s="231"/>
      <c r="I594" s="231"/>
      <c r="J594" s="231"/>
      <c r="K594" s="231"/>
      <c r="L594" s="232"/>
      <c r="M594" s="231"/>
      <c r="N594" s="232"/>
    </row>
    <row r="595" spans="2:14" s="228" customFormat="1" x14ac:dyDescent="0.2">
      <c r="B595" s="229"/>
      <c r="C595" s="230"/>
      <c r="D595" s="230"/>
      <c r="E595" s="230"/>
      <c r="F595" s="230"/>
      <c r="G595" s="230"/>
      <c r="H595" s="231"/>
      <c r="I595" s="231"/>
      <c r="J595" s="231"/>
      <c r="K595" s="231"/>
      <c r="L595" s="232"/>
      <c r="M595" s="231"/>
      <c r="N595" s="232"/>
    </row>
    <row r="596" spans="2:14" s="228" customFormat="1" x14ac:dyDescent="0.2">
      <c r="B596" s="229"/>
      <c r="C596" s="230"/>
      <c r="D596" s="230"/>
      <c r="E596" s="230"/>
      <c r="F596" s="230"/>
      <c r="G596" s="230"/>
      <c r="H596" s="231"/>
      <c r="I596" s="231"/>
      <c r="J596" s="231"/>
      <c r="K596" s="231"/>
      <c r="L596" s="232"/>
      <c r="M596" s="231"/>
      <c r="N596" s="232"/>
    </row>
    <row r="597" spans="2:14" s="228" customFormat="1" x14ac:dyDescent="0.2">
      <c r="B597" s="229"/>
      <c r="C597" s="230"/>
      <c r="D597" s="230"/>
      <c r="E597" s="230"/>
      <c r="F597" s="230"/>
      <c r="G597" s="230"/>
      <c r="H597" s="231"/>
      <c r="I597" s="231"/>
      <c r="J597" s="231"/>
      <c r="K597" s="231"/>
      <c r="L597" s="232"/>
      <c r="M597" s="231"/>
      <c r="N597" s="232"/>
    </row>
    <row r="598" spans="2:14" s="228" customFormat="1" x14ac:dyDescent="0.2">
      <c r="B598" s="229"/>
      <c r="C598" s="230"/>
      <c r="D598" s="230"/>
      <c r="E598" s="230"/>
      <c r="F598" s="230"/>
      <c r="G598" s="230"/>
      <c r="H598" s="231"/>
      <c r="I598" s="231"/>
      <c r="J598" s="231"/>
      <c r="K598" s="231"/>
      <c r="L598" s="232"/>
      <c r="M598" s="231"/>
      <c r="N598" s="232"/>
    </row>
    <row r="599" spans="2:14" s="228" customFormat="1" x14ac:dyDescent="0.2">
      <c r="B599" s="229"/>
      <c r="C599" s="230"/>
      <c r="D599" s="230"/>
      <c r="E599" s="230"/>
      <c r="F599" s="230"/>
      <c r="G599" s="230"/>
      <c r="H599" s="231"/>
      <c r="I599" s="231"/>
      <c r="J599" s="231"/>
      <c r="K599" s="231"/>
      <c r="L599" s="232"/>
      <c r="M599" s="231"/>
      <c r="N599" s="232"/>
    </row>
    <row r="600" spans="2:14" s="228" customFormat="1" x14ac:dyDescent="0.2">
      <c r="B600" s="229"/>
      <c r="C600" s="230"/>
      <c r="D600" s="230"/>
      <c r="E600" s="230"/>
      <c r="F600" s="230"/>
      <c r="G600" s="230"/>
      <c r="H600" s="231"/>
      <c r="I600" s="231"/>
      <c r="J600" s="231"/>
      <c r="K600" s="231"/>
      <c r="L600" s="232"/>
      <c r="M600" s="231"/>
      <c r="N600" s="232"/>
    </row>
    <row r="601" spans="2:14" s="228" customFormat="1" x14ac:dyDescent="0.2">
      <c r="B601" s="229"/>
      <c r="C601" s="230"/>
      <c r="D601" s="230"/>
      <c r="E601" s="230"/>
      <c r="F601" s="230"/>
      <c r="G601" s="230"/>
      <c r="H601" s="231"/>
      <c r="I601" s="231"/>
      <c r="J601" s="231"/>
      <c r="K601" s="231"/>
      <c r="L601" s="232"/>
      <c r="M601" s="231"/>
      <c r="N601" s="232"/>
    </row>
    <row r="602" spans="2:14" s="228" customFormat="1" x14ac:dyDescent="0.2">
      <c r="B602" s="229"/>
      <c r="C602" s="230"/>
      <c r="D602" s="230"/>
      <c r="E602" s="230"/>
      <c r="F602" s="230"/>
      <c r="G602" s="230"/>
      <c r="H602" s="231"/>
      <c r="I602" s="231"/>
      <c r="J602" s="231"/>
      <c r="K602" s="231"/>
      <c r="L602" s="232"/>
      <c r="M602" s="231"/>
      <c r="N602" s="232"/>
    </row>
    <row r="603" spans="2:14" s="228" customFormat="1" x14ac:dyDescent="0.2">
      <c r="B603" s="229"/>
      <c r="C603" s="230"/>
      <c r="D603" s="230"/>
      <c r="E603" s="230"/>
      <c r="F603" s="230"/>
      <c r="G603" s="230"/>
      <c r="H603" s="231"/>
      <c r="I603" s="231"/>
      <c r="J603" s="231"/>
      <c r="K603" s="231"/>
      <c r="L603" s="232"/>
      <c r="M603" s="231"/>
      <c r="N603" s="232"/>
    </row>
    <row r="604" spans="2:14" s="228" customFormat="1" x14ac:dyDescent="0.2">
      <c r="B604" s="229"/>
      <c r="C604" s="230"/>
      <c r="D604" s="230"/>
      <c r="E604" s="230"/>
      <c r="F604" s="230"/>
      <c r="G604" s="230"/>
      <c r="H604" s="231"/>
      <c r="I604" s="231"/>
      <c r="J604" s="231"/>
      <c r="K604" s="231"/>
      <c r="L604" s="232"/>
      <c r="M604" s="231"/>
      <c r="N604" s="232"/>
    </row>
    <row r="605" spans="2:14" s="228" customFormat="1" x14ac:dyDescent="0.2">
      <c r="B605" s="229"/>
      <c r="C605" s="230"/>
      <c r="D605" s="230"/>
      <c r="E605" s="230"/>
      <c r="F605" s="230"/>
      <c r="G605" s="230"/>
      <c r="H605" s="231"/>
      <c r="I605" s="231"/>
      <c r="J605" s="231"/>
      <c r="K605" s="231"/>
      <c r="L605" s="232"/>
      <c r="M605" s="231"/>
      <c r="N605" s="232"/>
    </row>
    <row r="606" spans="2:14" s="228" customFormat="1" x14ac:dyDescent="0.2">
      <c r="B606" s="229"/>
      <c r="C606" s="230"/>
      <c r="D606" s="230"/>
      <c r="E606" s="230"/>
      <c r="F606" s="230"/>
      <c r="G606" s="230"/>
      <c r="H606" s="231"/>
      <c r="I606" s="231"/>
      <c r="J606" s="231"/>
      <c r="K606" s="231"/>
      <c r="L606" s="232"/>
      <c r="M606" s="231"/>
      <c r="N606" s="232"/>
    </row>
    <row r="607" spans="2:14" s="228" customFormat="1" x14ac:dyDescent="0.2">
      <c r="B607" s="229"/>
      <c r="C607" s="230"/>
      <c r="D607" s="230"/>
      <c r="E607" s="230"/>
      <c r="F607" s="230"/>
      <c r="G607" s="230"/>
      <c r="H607" s="231"/>
      <c r="I607" s="231"/>
      <c r="J607" s="231"/>
      <c r="K607" s="231"/>
      <c r="L607" s="232"/>
      <c r="M607" s="231"/>
      <c r="N607" s="232"/>
    </row>
    <row r="608" spans="2:14" s="228" customFormat="1" x14ac:dyDescent="0.2">
      <c r="B608" s="229"/>
      <c r="C608" s="230"/>
      <c r="D608" s="230"/>
      <c r="E608" s="230"/>
      <c r="F608" s="230"/>
      <c r="G608" s="230"/>
      <c r="H608" s="231"/>
      <c r="I608" s="231"/>
      <c r="J608" s="231"/>
      <c r="K608" s="231"/>
      <c r="L608" s="232"/>
      <c r="M608" s="231"/>
      <c r="N608" s="232"/>
    </row>
    <row r="609" spans="2:14" s="228" customFormat="1" x14ac:dyDescent="0.2">
      <c r="B609" s="229"/>
      <c r="C609" s="230"/>
      <c r="D609" s="230"/>
      <c r="E609" s="230"/>
      <c r="F609" s="230"/>
      <c r="G609" s="230"/>
      <c r="H609" s="231"/>
      <c r="I609" s="231"/>
      <c r="J609" s="231"/>
      <c r="K609" s="231"/>
      <c r="L609" s="232"/>
      <c r="M609" s="231"/>
      <c r="N609" s="232"/>
    </row>
    <row r="610" spans="2:14" s="228" customFormat="1" x14ac:dyDescent="0.2">
      <c r="B610" s="229"/>
      <c r="C610" s="230"/>
      <c r="D610" s="230"/>
      <c r="E610" s="230"/>
      <c r="F610" s="230"/>
      <c r="G610" s="230"/>
      <c r="H610" s="231"/>
      <c r="I610" s="231"/>
      <c r="J610" s="231"/>
      <c r="K610" s="231"/>
      <c r="L610" s="232"/>
      <c r="M610" s="231"/>
      <c r="N610" s="232"/>
    </row>
    <row r="611" spans="2:14" s="228" customFormat="1" x14ac:dyDescent="0.2">
      <c r="B611" s="229"/>
      <c r="C611" s="230"/>
      <c r="D611" s="230"/>
      <c r="E611" s="230"/>
      <c r="F611" s="230"/>
      <c r="G611" s="230"/>
      <c r="H611" s="231"/>
      <c r="I611" s="231"/>
      <c r="J611" s="231"/>
      <c r="K611" s="231"/>
      <c r="L611" s="232"/>
      <c r="M611" s="231"/>
      <c r="N611" s="232"/>
    </row>
    <row r="612" spans="2:14" s="228" customFormat="1" x14ac:dyDescent="0.2">
      <c r="B612" s="229"/>
      <c r="C612" s="230"/>
      <c r="D612" s="230"/>
      <c r="E612" s="230"/>
      <c r="F612" s="230"/>
      <c r="G612" s="230"/>
      <c r="H612" s="231"/>
      <c r="I612" s="231"/>
      <c r="J612" s="231"/>
      <c r="K612" s="231"/>
      <c r="L612" s="232"/>
      <c r="M612" s="231"/>
      <c r="N612" s="232"/>
    </row>
    <row r="613" spans="2:14" s="228" customFormat="1" x14ac:dyDescent="0.2">
      <c r="B613" s="229"/>
      <c r="C613" s="230"/>
      <c r="D613" s="230"/>
      <c r="E613" s="230"/>
      <c r="F613" s="230"/>
      <c r="G613" s="230"/>
      <c r="H613" s="231"/>
      <c r="I613" s="231"/>
      <c r="J613" s="231"/>
      <c r="K613" s="231"/>
      <c r="L613" s="232"/>
      <c r="M613" s="231"/>
      <c r="N613" s="232"/>
    </row>
    <row r="614" spans="2:14" s="228" customFormat="1" x14ac:dyDescent="0.2">
      <c r="B614" s="229"/>
      <c r="C614" s="230"/>
      <c r="D614" s="230"/>
      <c r="E614" s="230"/>
      <c r="F614" s="230"/>
      <c r="G614" s="230"/>
      <c r="H614" s="231"/>
      <c r="I614" s="231"/>
      <c r="J614" s="231"/>
      <c r="K614" s="231"/>
      <c r="L614" s="232"/>
      <c r="M614" s="231"/>
      <c r="N614" s="232"/>
    </row>
    <row r="615" spans="2:14" s="228" customFormat="1" x14ac:dyDescent="0.2">
      <c r="B615" s="229"/>
      <c r="C615" s="230"/>
      <c r="D615" s="230"/>
      <c r="E615" s="230"/>
      <c r="F615" s="230"/>
      <c r="G615" s="230"/>
      <c r="H615" s="231"/>
      <c r="I615" s="231"/>
      <c r="J615" s="231"/>
      <c r="K615" s="231"/>
      <c r="L615" s="232"/>
      <c r="M615" s="231"/>
      <c r="N615" s="232"/>
    </row>
    <row r="616" spans="2:14" s="228" customFormat="1" x14ac:dyDescent="0.2">
      <c r="B616" s="229"/>
      <c r="C616" s="230"/>
      <c r="D616" s="230"/>
      <c r="E616" s="230"/>
      <c r="F616" s="230"/>
      <c r="G616" s="230"/>
      <c r="H616" s="231"/>
      <c r="I616" s="231"/>
      <c r="J616" s="231"/>
      <c r="K616" s="231"/>
      <c r="L616" s="232"/>
      <c r="M616" s="231"/>
      <c r="N616" s="232"/>
    </row>
    <row r="617" spans="2:14" s="228" customFormat="1" x14ac:dyDescent="0.2">
      <c r="B617" s="229"/>
      <c r="C617" s="230"/>
      <c r="D617" s="230"/>
      <c r="E617" s="230"/>
      <c r="F617" s="230"/>
      <c r="G617" s="230"/>
      <c r="H617" s="231"/>
      <c r="I617" s="231"/>
      <c r="J617" s="231"/>
      <c r="K617" s="231"/>
      <c r="L617" s="232"/>
      <c r="M617" s="231"/>
      <c r="N617" s="232"/>
    </row>
    <row r="618" spans="2:14" s="228" customFormat="1" x14ac:dyDescent="0.2">
      <c r="B618" s="229"/>
      <c r="C618" s="230"/>
      <c r="D618" s="230"/>
      <c r="E618" s="230"/>
      <c r="F618" s="230"/>
      <c r="G618" s="230"/>
      <c r="H618" s="231"/>
      <c r="I618" s="231"/>
      <c r="J618" s="231"/>
      <c r="K618" s="231"/>
      <c r="L618" s="232"/>
      <c r="M618" s="231"/>
      <c r="N618" s="232"/>
    </row>
    <row r="619" spans="2:14" s="228" customFormat="1" x14ac:dyDescent="0.2">
      <c r="B619" s="229"/>
      <c r="C619" s="230"/>
      <c r="D619" s="230"/>
      <c r="E619" s="230"/>
      <c r="F619" s="230"/>
      <c r="G619" s="230"/>
      <c r="H619" s="231"/>
      <c r="I619" s="231"/>
      <c r="J619" s="231"/>
      <c r="K619" s="231"/>
      <c r="L619" s="232"/>
      <c r="M619" s="231"/>
      <c r="N619" s="232"/>
    </row>
    <row r="620" spans="2:14" s="228" customFormat="1" x14ac:dyDescent="0.2">
      <c r="B620" s="229"/>
      <c r="C620" s="230"/>
      <c r="D620" s="230"/>
      <c r="E620" s="230"/>
      <c r="F620" s="230"/>
      <c r="G620" s="230"/>
      <c r="H620" s="231"/>
      <c r="I620" s="231"/>
      <c r="J620" s="231"/>
      <c r="K620" s="231"/>
      <c r="L620" s="232"/>
      <c r="M620" s="231"/>
      <c r="N620" s="232"/>
    </row>
    <row r="621" spans="2:14" s="228" customFormat="1" x14ac:dyDescent="0.2">
      <c r="B621" s="229"/>
      <c r="C621" s="230"/>
      <c r="D621" s="230"/>
      <c r="E621" s="230"/>
      <c r="F621" s="230"/>
      <c r="G621" s="230"/>
      <c r="H621" s="231"/>
      <c r="I621" s="231"/>
      <c r="J621" s="231"/>
      <c r="K621" s="231"/>
      <c r="L621" s="232"/>
      <c r="M621" s="231"/>
      <c r="N621" s="232"/>
    </row>
    <row r="622" spans="2:14" s="228" customFormat="1" x14ac:dyDescent="0.2">
      <c r="B622" s="229"/>
      <c r="C622" s="230"/>
      <c r="D622" s="230"/>
      <c r="E622" s="230"/>
      <c r="F622" s="230"/>
      <c r="G622" s="230"/>
      <c r="H622" s="231"/>
      <c r="I622" s="231"/>
      <c r="J622" s="231"/>
      <c r="K622" s="231"/>
      <c r="L622" s="232"/>
      <c r="M622" s="231"/>
      <c r="N622" s="232"/>
    </row>
    <row r="623" spans="2:14" s="228" customFormat="1" x14ac:dyDescent="0.2">
      <c r="B623" s="229"/>
      <c r="C623" s="230"/>
      <c r="D623" s="230"/>
      <c r="E623" s="230"/>
      <c r="F623" s="230"/>
      <c r="G623" s="230"/>
      <c r="H623" s="231"/>
      <c r="I623" s="231"/>
      <c r="J623" s="231"/>
      <c r="K623" s="231"/>
      <c r="L623" s="232"/>
      <c r="M623" s="231"/>
      <c r="N623" s="232"/>
    </row>
    <row r="624" spans="2:14" s="228" customFormat="1" x14ac:dyDescent="0.2">
      <c r="B624" s="229"/>
      <c r="C624" s="230"/>
      <c r="D624" s="230"/>
      <c r="E624" s="230"/>
      <c r="F624" s="230"/>
      <c r="G624" s="230"/>
      <c r="H624" s="231"/>
      <c r="I624" s="231"/>
      <c r="J624" s="231"/>
      <c r="K624" s="231"/>
      <c r="L624" s="232"/>
      <c r="M624" s="231"/>
      <c r="N624" s="232"/>
    </row>
    <row r="625" spans="2:14" s="228" customFormat="1" x14ac:dyDescent="0.2">
      <c r="B625" s="229"/>
      <c r="C625" s="230"/>
      <c r="D625" s="230"/>
      <c r="E625" s="230"/>
      <c r="F625" s="230"/>
      <c r="G625" s="230"/>
      <c r="H625" s="231"/>
      <c r="I625" s="231"/>
      <c r="J625" s="231"/>
      <c r="K625" s="231"/>
      <c r="L625" s="232"/>
      <c r="M625" s="231"/>
      <c r="N625" s="232"/>
    </row>
    <row r="626" spans="2:14" s="228" customFormat="1" x14ac:dyDescent="0.2">
      <c r="B626" s="229"/>
      <c r="C626" s="230"/>
      <c r="D626" s="230"/>
      <c r="E626" s="230"/>
      <c r="F626" s="230"/>
      <c r="G626" s="230"/>
      <c r="H626" s="231"/>
      <c r="I626" s="231"/>
      <c r="J626" s="231"/>
      <c r="K626" s="231"/>
      <c r="L626" s="232"/>
      <c r="M626" s="231"/>
      <c r="N626" s="232"/>
    </row>
    <row r="627" spans="2:14" s="228" customFormat="1" x14ac:dyDescent="0.2">
      <c r="B627" s="229"/>
      <c r="C627" s="230"/>
      <c r="D627" s="230"/>
      <c r="E627" s="230"/>
      <c r="F627" s="230"/>
      <c r="G627" s="230"/>
      <c r="H627" s="231"/>
      <c r="I627" s="231"/>
      <c r="J627" s="231"/>
      <c r="K627" s="231"/>
      <c r="L627" s="232"/>
      <c r="M627" s="231"/>
      <c r="N627" s="232"/>
    </row>
    <row r="628" spans="2:14" s="228" customFormat="1" x14ac:dyDescent="0.2">
      <c r="B628" s="229"/>
      <c r="C628" s="230"/>
      <c r="D628" s="230"/>
      <c r="E628" s="230"/>
      <c r="F628" s="230"/>
      <c r="G628" s="230"/>
      <c r="H628" s="231"/>
      <c r="I628" s="231"/>
      <c r="J628" s="231"/>
      <c r="K628" s="231"/>
      <c r="L628" s="232"/>
      <c r="M628" s="231"/>
      <c r="N628" s="232"/>
    </row>
    <row r="629" spans="2:14" s="228" customFormat="1" x14ac:dyDescent="0.2">
      <c r="B629" s="229"/>
      <c r="C629" s="230"/>
      <c r="D629" s="230"/>
      <c r="E629" s="230"/>
      <c r="F629" s="230"/>
      <c r="G629" s="230"/>
      <c r="H629" s="231"/>
      <c r="I629" s="231"/>
      <c r="J629" s="231"/>
      <c r="K629" s="231"/>
      <c r="L629" s="232"/>
      <c r="M629" s="231"/>
      <c r="N629" s="232"/>
    </row>
    <row r="630" spans="2:14" s="228" customFormat="1" x14ac:dyDescent="0.2">
      <c r="B630" s="229"/>
      <c r="C630" s="230"/>
      <c r="D630" s="230"/>
      <c r="E630" s="230"/>
      <c r="F630" s="230"/>
      <c r="G630" s="230"/>
      <c r="H630" s="231"/>
      <c r="I630" s="231"/>
      <c r="J630" s="231"/>
      <c r="K630" s="231"/>
      <c r="L630" s="232"/>
      <c r="M630" s="231"/>
      <c r="N630" s="232"/>
    </row>
    <row r="631" spans="2:14" s="228" customFormat="1" x14ac:dyDescent="0.2">
      <c r="B631" s="229"/>
      <c r="C631" s="230"/>
      <c r="D631" s="230"/>
      <c r="E631" s="230"/>
      <c r="F631" s="230"/>
      <c r="G631" s="230"/>
      <c r="H631" s="231"/>
      <c r="I631" s="231"/>
      <c r="J631" s="231"/>
      <c r="K631" s="231"/>
      <c r="L631" s="232"/>
      <c r="M631" s="231"/>
      <c r="N631" s="232"/>
    </row>
    <row r="632" spans="2:14" s="228" customFormat="1" x14ac:dyDescent="0.2">
      <c r="B632" s="229"/>
      <c r="C632" s="230"/>
      <c r="D632" s="230"/>
      <c r="E632" s="230"/>
      <c r="F632" s="230"/>
      <c r="G632" s="230"/>
      <c r="H632" s="231"/>
      <c r="I632" s="231"/>
      <c r="J632" s="231"/>
      <c r="K632" s="231"/>
      <c r="L632" s="232"/>
      <c r="M632" s="231"/>
      <c r="N632" s="232"/>
    </row>
    <row r="633" spans="2:14" s="228" customFormat="1" x14ac:dyDescent="0.2">
      <c r="B633" s="229"/>
      <c r="C633" s="230"/>
      <c r="D633" s="230"/>
      <c r="E633" s="230"/>
      <c r="F633" s="230"/>
      <c r="G633" s="230"/>
      <c r="H633" s="231"/>
      <c r="I633" s="231"/>
      <c r="J633" s="231"/>
      <c r="K633" s="231"/>
      <c r="L633" s="232"/>
      <c r="M633" s="231"/>
      <c r="N633" s="232"/>
    </row>
    <row r="634" spans="2:14" s="228" customFormat="1" x14ac:dyDescent="0.2">
      <c r="B634" s="229"/>
      <c r="C634" s="230"/>
      <c r="D634" s="230"/>
      <c r="E634" s="230"/>
      <c r="F634" s="230"/>
      <c r="G634" s="230"/>
      <c r="H634" s="231"/>
      <c r="I634" s="231"/>
      <c r="J634" s="231"/>
      <c r="K634" s="231"/>
      <c r="L634" s="232"/>
      <c r="M634" s="231"/>
      <c r="N634" s="232"/>
    </row>
    <row r="635" spans="2:14" s="228" customFormat="1" x14ac:dyDescent="0.2">
      <c r="B635" s="229"/>
      <c r="C635" s="230"/>
      <c r="D635" s="230"/>
      <c r="E635" s="230"/>
      <c r="F635" s="230"/>
      <c r="G635" s="230"/>
      <c r="H635" s="231"/>
      <c r="I635" s="231"/>
      <c r="J635" s="231"/>
      <c r="K635" s="231"/>
      <c r="L635" s="232"/>
      <c r="M635" s="231"/>
      <c r="N635" s="232"/>
    </row>
    <row r="636" spans="2:14" s="228" customFormat="1" x14ac:dyDescent="0.2">
      <c r="B636" s="229"/>
      <c r="C636" s="230"/>
      <c r="D636" s="230"/>
      <c r="E636" s="230"/>
      <c r="F636" s="230"/>
      <c r="G636" s="230"/>
      <c r="H636" s="231"/>
      <c r="I636" s="231"/>
      <c r="J636" s="231"/>
      <c r="K636" s="231"/>
      <c r="L636" s="232"/>
      <c r="M636" s="231"/>
      <c r="N636" s="232"/>
    </row>
    <row r="637" spans="2:14" s="228" customFormat="1" x14ac:dyDescent="0.2">
      <c r="B637" s="229"/>
      <c r="C637" s="230"/>
      <c r="D637" s="230"/>
      <c r="E637" s="230"/>
      <c r="F637" s="230"/>
      <c r="G637" s="230"/>
      <c r="H637" s="231"/>
      <c r="I637" s="231"/>
      <c r="J637" s="231"/>
      <c r="K637" s="231"/>
      <c r="L637" s="232"/>
      <c r="M637" s="231"/>
      <c r="N637" s="232"/>
    </row>
    <row r="638" spans="2:14" s="228" customFormat="1" x14ac:dyDescent="0.2">
      <c r="B638" s="229"/>
      <c r="C638" s="230"/>
      <c r="D638" s="230"/>
      <c r="E638" s="230"/>
      <c r="F638" s="230"/>
      <c r="G638" s="230"/>
      <c r="H638" s="231"/>
      <c r="I638" s="231"/>
      <c r="J638" s="231"/>
      <c r="K638" s="231"/>
      <c r="L638" s="232"/>
      <c r="M638" s="231"/>
      <c r="N638" s="232"/>
    </row>
    <row r="639" spans="2:14" s="228" customFormat="1" x14ac:dyDescent="0.2">
      <c r="B639" s="229"/>
      <c r="C639" s="230"/>
      <c r="D639" s="230"/>
      <c r="E639" s="230"/>
      <c r="F639" s="230"/>
      <c r="G639" s="230"/>
      <c r="H639" s="231"/>
      <c r="I639" s="231"/>
      <c r="J639" s="231"/>
      <c r="K639" s="231"/>
      <c r="L639" s="232"/>
      <c r="M639" s="231"/>
      <c r="N639" s="232"/>
    </row>
    <row r="640" spans="2:14" s="228" customFormat="1" x14ac:dyDescent="0.2">
      <c r="B640" s="229"/>
      <c r="C640" s="230"/>
      <c r="D640" s="230"/>
      <c r="E640" s="230"/>
      <c r="F640" s="230"/>
      <c r="G640" s="230"/>
      <c r="H640" s="231"/>
      <c r="I640" s="231"/>
      <c r="J640" s="231"/>
      <c r="K640" s="231"/>
      <c r="L640" s="232"/>
      <c r="M640" s="231"/>
      <c r="N640" s="232"/>
    </row>
    <row r="641" spans="2:14" s="228" customFormat="1" x14ac:dyDescent="0.2">
      <c r="B641" s="229"/>
      <c r="C641" s="230"/>
      <c r="D641" s="230"/>
      <c r="E641" s="230"/>
      <c r="F641" s="230"/>
      <c r="G641" s="230"/>
      <c r="H641" s="231"/>
      <c r="I641" s="231"/>
      <c r="J641" s="231"/>
      <c r="K641" s="231"/>
      <c r="L641" s="232"/>
      <c r="M641" s="231"/>
      <c r="N641" s="232"/>
    </row>
    <row r="642" spans="2:14" s="228" customFormat="1" x14ac:dyDescent="0.2">
      <c r="B642" s="229"/>
      <c r="C642" s="230"/>
      <c r="D642" s="230"/>
      <c r="E642" s="230"/>
      <c r="F642" s="230"/>
      <c r="G642" s="230"/>
      <c r="H642" s="231"/>
      <c r="I642" s="231"/>
      <c r="J642" s="231"/>
      <c r="K642" s="231"/>
      <c r="L642" s="232"/>
      <c r="M642" s="231"/>
      <c r="N642" s="232"/>
    </row>
    <row r="643" spans="2:14" s="228" customFormat="1" x14ac:dyDescent="0.2">
      <c r="B643" s="229"/>
      <c r="C643" s="230"/>
      <c r="D643" s="230"/>
      <c r="E643" s="230"/>
      <c r="F643" s="230"/>
      <c r="G643" s="230"/>
      <c r="H643" s="231"/>
      <c r="I643" s="231"/>
      <c r="J643" s="231"/>
      <c r="K643" s="231"/>
      <c r="L643" s="232"/>
      <c r="M643" s="231"/>
      <c r="N643" s="232"/>
    </row>
    <row r="644" spans="2:14" s="228" customFormat="1" x14ac:dyDescent="0.2">
      <c r="B644" s="229"/>
      <c r="C644" s="230"/>
      <c r="D644" s="230"/>
      <c r="E644" s="230"/>
      <c r="F644" s="230"/>
      <c r="G644" s="230"/>
      <c r="H644" s="231"/>
      <c r="I644" s="231"/>
      <c r="J644" s="231"/>
      <c r="K644" s="231"/>
      <c r="L644" s="232"/>
      <c r="M644" s="231"/>
      <c r="N644" s="232"/>
    </row>
    <row r="645" spans="2:14" s="228" customFormat="1" x14ac:dyDescent="0.2">
      <c r="B645" s="229"/>
      <c r="C645" s="230"/>
      <c r="D645" s="230"/>
      <c r="E645" s="230"/>
      <c r="F645" s="230"/>
      <c r="G645" s="230"/>
      <c r="H645" s="231"/>
      <c r="I645" s="231"/>
      <c r="J645" s="231"/>
      <c r="K645" s="231"/>
      <c r="L645" s="232"/>
      <c r="M645" s="231"/>
      <c r="N645" s="232"/>
    </row>
    <row r="646" spans="2:14" s="228" customFormat="1" x14ac:dyDescent="0.2">
      <c r="B646" s="229"/>
      <c r="C646" s="230"/>
      <c r="D646" s="230"/>
      <c r="E646" s="230"/>
      <c r="F646" s="230"/>
      <c r="G646" s="230"/>
      <c r="H646" s="231"/>
      <c r="I646" s="231"/>
      <c r="J646" s="231"/>
      <c r="K646" s="231"/>
      <c r="L646" s="232"/>
      <c r="M646" s="231"/>
      <c r="N646" s="232"/>
    </row>
    <row r="647" spans="2:14" s="228" customFormat="1" x14ac:dyDescent="0.2">
      <c r="B647" s="229"/>
      <c r="C647" s="230"/>
      <c r="D647" s="230"/>
      <c r="E647" s="230"/>
      <c r="F647" s="230"/>
      <c r="G647" s="230"/>
      <c r="H647" s="231"/>
      <c r="I647" s="231"/>
      <c r="J647" s="231"/>
      <c r="K647" s="231"/>
      <c r="L647" s="232"/>
      <c r="M647" s="231"/>
      <c r="N647" s="232"/>
    </row>
    <row r="648" spans="2:14" s="228" customFormat="1" x14ac:dyDescent="0.2">
      <c r="B648" s="229"/>
      <c r="C648" s="230"/>
      <c r="D648" s="230"/>
      <c r="E648" s="230"/>
      <c r="F648" s="230"/>
      <c r="G648" s="230"/>
      <c r="H648" s="231"/>
      <c r="I648" s="231"/>
      <c r="J648" s="231"/>
      <c r="K648" s="231"/>
      <c r="L648" s="232"/>
      <c r="M648" s="231"/>
      <c r="N648" s="232"/>
    </row>
    <row r="649" spans="2:14" s="228" customFormat="1" x14ac:dyDescent="0.2">
      <c r="B649" s="229"/>
      <c r="C649" s="230"/>
      <c r="D649" s="230"/>
      <c r="E649" s="230"/>
      <c r="F649" s="230"/>
      <c r="G649" s="230"/>
      <c r="H649" s="231"/>
      <c r="I649" s="231"/>
      <c r="J649" s="231"/>
      <c r="K649" s="231"/>
      <c r="L649" s="232"/>
      <c r="M649" s="231"/>
      <c r="N649" s="232"/>
    </row>
    <row r="650" spans="2:14" s="228" customFormat="1" x14ac:dyDescent="0.2">
      <c r="B650" s="229"/>
      <c r="C650" s="230"/>
      <c r="D650" s="230"/>
      <c r="E650" s="230"/>
      <c r="F650" s="230"/>
      <c r="G650" s="230"/>
      <c r="H650" s="231"/>
      <c r="I650" s="231"/>
      <c r="J650" s="231"/>
      <c r="K650" s="231"/>
      <c r="L650" s="232"/>
      <c r="M650" s="231"/>
      <c r="N650" s="232"/>
    </row>
    <row r="651" spans="2:14" s="228" customFormat="1" x14ac:dyDescent="0.2">
      <c r="B651" s="229"/>
      <c r="C651" s="230"/>
      <c r="D651" s="230"/>
      <c r="E651" s="230"/>
      <c r="F651" s="230"/>
      <c r="G651" s="230"/>
      <c r="H651" s="231"/>
      <c r="I651" s="231"/>
      <c r="J651" s="231"/>
      <c r="K651" s="231"/>
      <c r="L651" s="232"/>
      <c r="M651" s="231"/>
      <c r="N651" s="232"/>
    </row>
    <row r="652" spans="2:14" s="228" customFormat="1" x14ac:dyDescent="0.2">
      <c r="B652" s="229"/>
      <c r="C652" s="230"/>
      <c r="D652" s="230"/>
      <c r="E652" s="230"/>
      <c r="F652" s="230"/>
      <c r="G652" s="230"/>
      <c r="H652" s="231"/>
      <c r="I652" s="231"/>
      <c r="J652" s="231"/>
      <c r="K652" s="231"/>
      <c r="L652" s="232"/>
      <c r="M652" s="231"/>
      <c r="N652" s="232"/>
    </row>
    <row r="653" spans="2:14" s="228" customFormat="1" x14ac:dyDescent="0.2">
      <c r="B653" s="229"/>
      <c r="C653" s="230"/>
      <c r="D653" s="230"/>
      <c r="E653" s="230"/>
      <c r="F653" s="230"/>
      <c r="G653" s="230"/>
      <c r="H653" s="231"/>
      <c r="I653" s="231"/>
      <c r="J653" s="231"/>
      <c r="K653" s="231"/>
      <c r="L653" s="232"/>
      <c r="M653" s="231"/>
      <c r="N653" s="232"/>
    </row>
    <row r="654" spans="2:14" s="228" customFormat="1" x14ac:dyDescent="0.2">
      <c r="B654" s="229"/>
      <c r="C654" s="230"/>
      <c r="D654" s="230"/>
      <c r="E654" s="230"/>
      <c r="F654" s="230"/>
      <c r="G654" s="230"/>
      <c r="H654" s="231"/>
      <c r="I654" s="231"/>
      <c r="J654" s="231"/>
      <c r="K654" s="231"/>
      <c r="L654" s="232"/>
      <c r="M654" s="231"/>
      <c r="N654" s="232"/>
    </row>
    <row r="655" spans="2:14" s="228" customFormat="1" x14ac:dyDescent="0.2">
      <c r="B655" s="229"/>
      <c r="C655" s="230"/>
      <c r="D655" s="230"/>
      <c r="E655" s="230"/>
      <c r="F655" s="230"/>
      <c r="G655" s="230"/>
      <c r="H655" s="231"/>
      <c r="I655" s="231"/>
      <c r="J655" s="231"/>
      <c r="K655" s="231"/>
      <c r="L655" s="232"/>
      <c r="M655" s="231"/>
      <c r="N655" s="232"/>
    </row>
    <row r="656" spans="2:14" s="228" customFormat="1" x14ac:dyDescent="0.2">
      <c r="B656" s="229"/>
      <c r="C656" s="230"/>
      <c r="D656" s="230"/>
      <c r="E656" s="230"/>
      <c r="F656" s="230"/>
      <c r="G656" s="230"/>
      <c r="H656" s="231"/>
      <c r="I656" s="231"/>
      <c r="J656" s="231"/>
      <c r="K656" s="231"/>
      <c r="L656" s="232"/>
      <c r="M656" s="231"/>
      <c r="N656" s="232"/>
    </row>
    <row r="657" spans="2:14" s="228" customFormat="1" x14ac:dyDescent="0.2">
      <c r="B657" s="229"/>
      <c r="C657" s="230"/>
      <c r="D657" s="230"/>
      <c r="E657" s="230"/>
      <c r="F657" s="230"/>
      <c r="G657" s="230"/>
      <c r="H657" s="231"/>
      <c r="I657" s="231"/>
      <c r="J657" s="231"/>
      <c r="K657" s="231"/>
      <c r="L657" s="232"/>
      <c r="M657" s="231"/>
      <c r="N657" s="232"/>
    </row>
    <row r="658" spans="2:14" s="228" customFormat="1" x14ac:dyDescent="0.2">
      <c r="B658" s="229"/>
      <c r="C658" s="230"/>
      <c r="D658" s="230"/>
      <c r="E658" s="230"/>
      <c r="F658" s="230"/>
      <c r="G658" s="230"/>
      <c r="H658" s="231"/>
      <c r="I658" s="231"/>
      <c r="J658" s="231"/>
      <c r="K658" s="231"/>
      <c r="L658" s="232"/>
      <c r="M658" s="231"/>
      <c r="N658" s="232"/>
    </row>
    <row r="659" spans="2:14" s="228" customFormat="1" x14ac:dyDescent="0.2">
      <c r="B659" s="229"/>
      <c r="C659" s="230"/>
      <c r="D659" s="230"/>
      <c r="E659" s="230"/>
      <c r="F659" s="230"/>
      <c r="G659" s="230"/>
      <c r="H659" s="231"/>
      <c r="I659" s="231"/>
      <c r="J659" s="231"/>
      <c r="K659" s="231"/>
      <c r="L659" s="232"/>
      <c r="M659" s="231"/>
      <c r="N659" s="232"/>
    </row>
    <row r="660" spans="2:14" s="228" customFormat="1" x14ac:dyDescent="0.2">
      <c r="B660" s="229"/>
      <c r="C660" s="230"/>
      <c r="D660" s="230"/>
      <c r="E660" s="230"/>
      <c r="F660" s="230"/>
      <c r="G660" s="230"/>
      <c r="H660" s="231"/>
      <c r="I660" s="231"/>
      <c r="J660" s="231"/>
      <c r="K660" s="231"/>
      <c r="L660" s="232"/>
      <c r="M660" s="231"/>
      <c r="N660" s="232"/>
    </row>
    <row r="661" spans="2:14" s="228" customFormat="1" x14ac:dyDescent="0.2">
      <c r="B661" s="229"/>
      <c r="C661" s="230"/>
      <c r="D661" s="230"/>
      <c r="E661" s="230"/>
      <c r="F661" s="230"/>
      <c r="G661" s="230"/>
      <c r="H661" s="231"/>
      <c r="I661" s="231"/>
      <c r="J661" s="231"/>
      <c r="K661" s="231"/>
      <c r="L661" s="232"/>
      <c r="M661" s="231"/>
      <c r="N661" s="232"/>
    </row>
    <row r="662" spans="2:14" s="228" customFormat="1" x14ac:dyDescent="0.2">
      <c r="B662" s="229"/>
      <c r="C662" s="230"/>
      <c r="D662" s="230"/>
      <c r="E662" s="230"/>
      <c r="F662" s="230"/>
      <c r="G662" s="230"/>
      <c r="H662" s="231"/>
      <c r="I662" s="231"/>
      <c r="J662" s="231"/>
      <c r="K662" s="231"/>
      <c r="L662" s="232"/>
      <c r="M662" s="231"/>
      <c r="N662" s="232"/>
    </row>
    <row r="663" spans="2:14" s="228" customFormat="1" x14ac:dyDescent="0.2">
      <c r="B663" s="229"/>
      <c r="C663" s="230"/>
      <c r="D663" s="230"/>
      <c r="E663" s="230"/>
      <c r="F663" s="230"/>
      <c r="G663" s="230"/>
      <c r="H663" s="231"/>
      <c r="I663" s="231"/>
      <c r="J663" s="231"/>
      <c r="K663" s="231"/>
      <c r="L663" s="232"/>
      <c r="M663" s="231"/>
      <c r="N663" s="232"/>
    </row>
    <row r="664" spans="2:14" s="228" customFormat="1" x14ac:dyDescent="0.2">
      <c r="B664" s="229"/>
      <c r="C664" s="230"/>
      <c r="D664" s="230"/>
      <c r="E664" s="230"/>
      <c r="F664" s="230"/>
      <c r="G664" s="230"/>
      <c r="H664" s="231"/>
      <c r="I664" s="231"/>
      <c r="J664" s="231"/>
      <c r="K664" s="231"/>
      <c r="L664" s="232"/>
      <c r="M664" s="231"/>
      <c r="N664" s="232"/>
    </row>
    <row r="665" spans="2:14" s="228" customFormat="1" x14ac:dyDescent="0.2">
      <c r="B665" s="229"/>
      <c r="C665" s="230"/>
      <c r="D665" s="230"/>
      <c r="E665" s="230"/>
      <c r="F665" s="230"/>
      <c r="G665" s="230"/>
      <c r="H665" s="231"/>
      <c r="I665" s="231"/>
      <c r="J665" s="231"/>
      <c r="K665" s="231"/>
      <c r="L665" s="232"/>
      <c r="M665" s="231"/>
      <c r="N665" s="232"/>
    </row>
    <row r="666" spans="2:14" s="228" customFormat="1" x14ac:dyDescent="0.2">
      <c r="B666" s="229"/>
      <c r="C666" s="230"/>
      <c r="D666" s="230"/>
      <c r="E666" s="230"/>
      <c r="F666" s="230"/>
      <c r="G666" s="230"/>
      <c r="H666" s="231"/>
      <c r="I666" s="231"/>
      <c r="J666" s="231"/>
      <c r="K666" s="231"/>
      <c r="L666" s="232"/>
      <c r="M666" s="231"/>
      <c r="N666" s="232"/>
    </row>
    <row r="667" spans="2:14" s="228" customFormat="1" x14ac:dyDescent="0.2">
      <c r="B667" s="229"/>
      <c r="C667" s="230"/>
      <c r="D667" s="230"/>
      <c r="E667" s="230"/>
      <c r="F667" s="230"/>
      <c r="G667" s="230"/>
      <c r="H667" s="231"/>
      <c r="I667" s="231"/>
      <c r="J667" s="231"/>
      <c r="K667" s="231"/>
      <c r="L667" s="232"/>
      <c r="M667" s="231"/>
      <c r="N667" s="232"/>
    </row>
    <row r="668" spans="2:14" s="228" customFormat="1" x14ac:dyDescent="0.2">
      <c r="B668" s="229"/>
      <c r="C668" s="230"/>
      <c r="D668" s="230"/>
      <c r="E668" s="230"/>
      <c r="F668" s="230"/>
      <c r="G668" s="230"/>
      <c r="H668" s="231"/>
      <c r="I668" s="231"/>
      <c r="J668" s="231"/>
      <c r="K668" s="231"/>
      <c r="L668" s="232"/>
      <c r="M668" s="231"/>
      <c r="N668" s="232"/>
    </row>
    <row r="669" spans="2:14" s="228" customFormat="1" x14ac:dyDescent="0.2">
      <c r="B669" s="229"/>
      <c r="C669" s="230"/>
      <c r="D669" s="230"/>
      <c r="E669" s="230"/>
      <c r="F669" s="230"/>
      <c r="G669" s="230"/>
      <c r="H669" s="231"/>
      <c r="I669" s="231"/>
      <c r="J669" s="231"/>
      <c r="K669" s="231"/>
      <c r="L669" s="232"/>
      <c r="M669" s="231"/>
      <c r="N669" s="232"/>
    </row>
    <row r="670" spans="2:14" s="228" customFormat="1" x14ac:dyDescent="0.2">
      <c r="B670" s="229"/>
      <c r="C670" s="230"/>
      <c r="D670" s="230"/>
      <c r="E670" s="230"/>
      <c r="F670" s="230"/>
      <c r="G670" s="230"/>
      <c r="H670" s="231"/>
      <c r="I670" s="231"/>
      <c r="J670" s="231"/>
      <c r="K670" s="231"/>
      <c r="L670" s="232"/>
      <c r="M670" s="231"/>
      <c r="N670" s="232"/>
    </row>
    <row r="671" spans="2:14" s="228" customFormat="1" x14ac:dyDescent="0.2">
      <c r="B671" s="229"/>
      <c r="C671" s="230"/>
      <c r="D671" s="230"/>
      <c r="E671" s="230"/>
      <c r="F671" s="230"/>
      <c r="G671" s="230"/>
      <c r="H671" s="231"/>
      <c r="I671" s="231"/>
      <c r="J671" s="231"/>
      <c r="K671" s="231"/>
      <c r="L671" s="232"/>
      <c r="M671" s="231"/>
      <c r="N671" s="232"/>
    </row>
    <row r="672" spans="2:14" s="228" customFormat="1" x14ac:dyDescent="0.2">
      <c r="B672" s="229"/>
      <c r="C672" s="230"/>
      <c r="D672" s="230"/>
      <c r="E672" s="230"/>
      <c r="F672" s="230"/>
      <c r="G672" s="230"/>
      <c r="H672" s="231"/>
      <c r="I672" s="231"/>
      <c r="J672" s="231"/>
      <c r="K672" s="231"/>
      <c r="L672" s="232"/>
      <c r="M672" s="231"/>
      <c r="N672" s="232"/>
    </row>
    <row r="673" spans="2:14" s="228" customFormat="1" x14ac:dyDescent="0.2">
      <c r="B673" s="229"/>
      <c r="C673" s="230"/>
      <c r="D673" s="230"/>
      <c r="E673" s="230"/>
      <c r="F673" s="230"/>
      <c r="G673" s="230"/>
      <c r="H673" s="231"/>
      <c r="I673" s="231"/>
      <c r="J673" s="231"/>
      <c r="K673" s="231"/>
      <c r="L673" s="232"/>
      <c r="M673" s="231"/>
      <c r="N673" s="232"/>
    </row>
    <row r="674" spans="2:14" s="228" customFormat="1" x14ac:dyDescent="0.2">
      <c r="B674" s="229"/>
      <c r="C674" s="230"/>
      <c r="D674" s="230"/>
      <c r="E674" s="230"/>
      <c r="F674" s="230"/>
      <c r="G674" s="230"/>
      <c r="H674" s="231"/>
      <c r="I674" s="231"/>
      <c r="J674" s="231"/>
      <c r="K674" s="231"/>
      <c r="L674" s="232"/>
      <c r="M674" s="231"/>
      <c r="N674" s="232"/>
    </row>
    <row r="675" spans="2:14" s="228" customFormat="1" x14ac:dyDescent="0.2">
      <c r="B675" s="229"/>
      <c r="C675" s="230"/>
      <c r="D675" s="230"/>
      <c r="E675" s="230"/>
      <c r="F675" s="230"/>
      <c r="G675" s="230"/>
      <c r="H675" s="231"/>
      <c r="I675" s="231"/>
      <c r="J675" s="231"/>
      <c r="K675" s="231"/>
      <c r="L675" s="232"/>
      <c r="M675" s="231"/>
      <c r="N675" s="232"/>
    </row>
    <row r="676" spans="2:14" s="228" customFormat="1" x14ac:dyDescent="0.2">
      <c r="B676" s="229"/>
      <c r="C676" s="230"/>
      <c r="D676" s="230"/>
      <c r="E676" s="230"/>
      <c r="F676" s="230"/>
      <c r="G676" s="230"/>
      <c r="H676" s="231"/>
      <c r="I676" s="231"/>
      <c r="J676" s="231"/>
      <c r="K676" s="231"/>
      <c r="L676" s="232"/>
      <c r="M676" s="231"/>
      <c r="N676" s="232"/>
    </row>
    <row r="677" spans="2:14" s="228" customFormat="1" x14ac:dyDescent="0.2">
      <c r="B677" s="229"/>
      <c r="C677" s="230"/>
      <c r="D677" s="230"/>
      <c r="E677" s="230"/>
      <c r="F677" s="230"/>
      <c r="G677" s="230"/>
      <c r="H677" s="231"/>
      <c r="I677" s="231"/>
      <c r="J677" s="231"/>
      <c r="K677" s="231"/>
      <c r="L677" s="232"/>
      <c r="M677" s="231"/>
      <c r="N677" s="232"/>
    </row>
    <row r="678" spans="2:14" s="228" customFormat="1" x14ac:dyDescent="0.2">
      <c r="B678" s="229"/>
      <c r="C678" s="230"/>
      <c r="D678" s="230"/>
      <c r="E678" s="230"/>
      <c r="F678" s="230"/>
      <c r="G678" s="230"/>
      <c r="H678" s="231"/>
      <c r="I678" s="231"/>
      <c r="J678" s="231"/>
      <c r="K678" s="231"/>
      <c r="L678" s="232"/>
      <c r="M678" s="231"/>
      <c r="N678" s="232"/>
    </row>
    <row r="679" spans="2:14" s="228" customFormat="1" x14ac:dyDescent="0.2">
      <c r="B679" s="229"/>
      <c r="C679" s="230"/>
      <c r="D679" s="230"/>
      <c r="E679" s="230"/>
      <c r="F679" s="230"/>
      <c r="G679" s="230"/>
      <c r="H679" s="231"/>
      <c r="I679" s="231"/>
      <c r="J679" s="231"/>
      <c r="K679" s="231"/>
      <c r="L679" s="232"/>
      <c r="M679" s="231"/>
      <c r="N679" s="232"/>
    </row>
    <row r="680" spans="2:14" s="228" customFormat="1" x14ac:dyDescent="0.2">
      <c r="B680" s="229"/>
      <c r="C680" s="230"/>
      <c r="D680" s="230"/>
      <c r="E680" s="230"/>
      <c r="F680" s="230"/>
      <c r="G680" s="230"/>
      <c r="H680" s="231"/>
      <c r="I680" s="231"/>
      <c r="J680" s="231"/>
      <c r="K680" s="231"/>
      <c r="L680" s="232"/>
      <c r="M680" s="231"/>
      <c r="N680" s="232"/>
    </row>
    <row r="681" spans="2:14" s="228" customFormat="1" x14ac:dyDescent="0.2">
      <c r="B681" s="229"/>
      <c r="C681" s="230"/>
      <c r="D681" s="230"/>
      <c r="E681" s="230"/>
      <c r="F681" s="230"/>
      <c r="G681" s="230"/>
      <c r="H681" s="231"/>
      <c r="I681" s="231"/>
      <c r="J681" s="231"/>
      <c r="K681" s="231"/>
      <c r="L681" s="232"/>
      <c r="M681" s="231"/>
      <c r="N681" s="232"/>
    </row>
    <row r="682" spans="2:14" s="228" customFormat="1" x14ac:dyDescent="0.2">
      <c r="B682" s="229"/>
      <c r="C682" s="230"/>
      <c r="D682" s="230"/>
      <c r="E682" s="230"/>
      <c r="F682" s="230"/>
      <c r="G682" s="230"/>
      <c r="H682" s="231"/>
      <c r="I682" s="231"/>
      <c r="J682" s="231"/>
      <c r="K682" s="231"/>
      <c r="L682" s="232"/>
      <c r="M682" s="231"/>
      <c r="N682" s="232"/>
    </row>
    <row r="683" spans="2:14" s="228" customFormat="1" x14ac:dyDescent="0.2">
      <c r="B683" s="229"/>
      <c r="C683" s="230"/>
      <c r="D683" s="230"/>
      <c r="E683" s="230"/>
      <c r="F683" s="230"/>
      <c r="G683" s="230"/>
      <c r="H683" s="231"/>
      <c r="I683" s="231"/>
      <c r="J683" s="231"/>
      <c r="K683" s="231"/>
      <c r="L683" s="232"/>
      <c r="M683" s="231"/>
      <c r="N683" s="232"/>
    </row>
    <row r="684" spans="2:14" s="228" customFormat="1" x14ac:dyDescent="0.2">
      <c r="B684" s="229"/>
      <c r="C684" s="230"/>
      <c r="D684" s="230"/>
      <c r="E684" s="230"/>
      <c r="F684" s="230"/>
      <c r="G684" s="230"/>
      <c r="H684" s="231"/>
      <c r="I684" s="231"/>
      <c r="J684" s="231"/>
      <c r="K684" s="231"/>
      <c r="L684" s="232"/>
      <c r="M684" s="231"/>
      <c r="N684" s="232"/>
    </row>
    <row r="685" spans="2:14" s="228" customFormat="1" x14ac:dyDescent="0.2">
      <c r="B685" s="229"/>
      <c r="C685" s="230"/>
      <c r="D685" s="230"/>
      <c r="E685" s="230"/>
      <c r="F685" s="230"/>
      <c r="G685" s="230"/>
      <c r="H685" s="231"/>
      <c r="I685" s="231"/>
      <c r="J685" s="231"/>
      <c r="K685" s="231"/>
      <c r="L685" s="232"/>
      <c r="M685" s="231"/>
      <c r="N685" s="232"/>
    </row>
    <row r="686" spans="2:14" s="228" customFormat="1" x14ac:dyDescent="0.2">
      <c r="B686" s="229"/>
      <c r="C686" s="230"/>
      <c r="D686" s="230"/>
      <c r="E686" s="230"/>
      <c r="F686" s="230"/>
      <c r="G686" s="230"/>
      <c r="H686" s="231"/>
      <c r="I686" s="231"/>
      <c r="J686" s="231"/>
      <c r="K686" s="231"/>
      <c r="L686" s="232"/>
      <c r="M686" s="231"/>
      <c r="N686" s="232"/>
    </row>
    <row r="687" spans="2:14" s="228" customFormat="1" x14ac:dyDescent="0.2">
      <c r="B687" s="229"/>
      <c r="C687" s="230"/>
      <c r="D687" s="230"/>
      <c r="E687" s="230"/>
      <c r="F687" s="230"/>
      <c r="G687" s="230"/>
      <c r="H687" s="231"/>
      <c r="I687" s="231"/>
      <c r="J687" s="231"/>
      <c r="K687" s="231"/>
      <c r="L687" s="232"/>
      <c r="M687" s="231"/>
      <c r="N687" s="232"/>
    </row>
    <row r="688" spans="2:14" s="228" customFormat="1" x14ac:dyDescent="0.2">
      <c r="B688" s="229"/>
      <c r="C688" s="230"/>
      <c r="D688" s="230"/>
      <c r="E688" s="230"/>
      <c r="F688" s="230"/>
      <c r="G688" s="230"/>
      <c r="H688" s="231"/>
      <c r="I688" s="231"/>
      <c r="J688" s="231"/>
      <c r="K688" s="231"/>
      <c r="L688" s="232"/>
      <c r="M688" s="231"/>
      <c r="N688" s="232"/>
    </row>
    <row r="689" spans="2:14" s="228" customFormat="1" x14ac:dyDescent="0.2">
      <c r="B689" s="229"/>
      <c r="C689" s="230"/>
      <c r="D689" s="230"/>
      <c r="E689" s="230"/>
      <c r="F689" s="230"/>
      <c r="G689" s="230"/>
      <c r="H689" s="231"/>
      <c r="I689" s="231"/>
      <c r="J689" s="231"/>
      <c r="K689" s="231"/>
      <c r="L689" s="232"/>
      <c r="M689" s="231"/>
      <c r="N689" s="232"/>
    </row>
    <row r="690" spans="2:14" s="228" customFormat="1" x14ac:dyDescent="0.2">
      <c r="B690" s="229"/>
      <c r="C690" s="230"/>
      <c r="D690" s="230"/>
      <c r="E690" s="230"/>
      <c r="F690" s="230"/>
      <c r="G690" s="230"/>
      <c r="H690" s="231"/>
      <c r="I690" s="231"/>
      <c r="J690" s="231"/>
      <c r="K690" s="231"/>
      <c r="L690" s="232"/>
      <c r="M690" s="231"/>
      <c r="N690" s="232"/>
    </row>
    <row r="691" spans="2:14" s="228" customFormat="1" x14ac:dyDescent="0.2">
      <c r="B691" s="229"/>
      <c r="C691" s="230"/>
      <c r="D691" s="230"/>
      <c r="E691" s="230"/>
      <c r="F691" s="230"/>
      <c r="G691" s="230"/>
      <c r="H691" s="231"/>
      <c r="I691" s="231"/>
      <c r="J691" s="231"/>
      <c r="K691" s="231"/>
      <c r="L691" s="232"/>
      <c r="M691" s="231"/>
      <c r="N691" s="232"/>
    </row>
    <row r="692" spans="2:14" s="228" customFormat="1" x14ac:dyDescent="0.2">
      <c r="B692" s="229"/>
      <c r="C692" s="230"/>
      <c r="D692" s="230"/>
      <c r="E692" s="230"/>
      <c r="F692" s="230"/>
      <c r="G692" s="230"/>
      <c r="H692" s="231"/>
      <c r="I692" s="231"/>
      <c r="J692" s="231"/>
      <c r="K692" s="231"/>
      <c r="L692" s="232"/>
      <c r="M692" s="231"/>
      <c r="N692" s="232"/>
    </row>
    <row r="693" spans="2:14" s="228" customFormat="1" x14ac:dyDescent="0.2">
      <c r="B693" s="229"/>
      <c r="C693" s="230"/>
      <c r="D693" s="230"/>
      <c r="E693" s="230"/>
      <c r="F693" s="230"/>
      <c r="G693" s="230"/>
      <c r="H693" s="231"/>
      <c r="I693" s="231"/>
      <c r="J693" s="231"/>
      <c r="K693" s="231"/>
      <c r="L693" s="232"/>
      <c r="M693" s="231"/>
      <c r="N693" s="232"/>
    </row>
    <row r="694" spans="2:14" s="228" customFormat="1" x14ac:dyDescent="0.2">
      <c r="B694" s="229"/>
      <c r="C694" s="230"/>
      <c r="D694" s="230"/>
      <c r="E694" s="230"/>
      <c r="F694" s="230"/>
      <c r="G694" s="230"/>
      <c r="H694" s="231"/>
      <c r="I694" s="231"/>
      <c r="J694" s="231"/>
      <c r="K694" s="231"/>
      <c r="L694" s="232"/>
      <c r="M694" s="231"/>
      <c r="N694" s="232"/>
    </row>
    <row r="695" spans="2:14" s="228" customFormat="1" x14ac:dyDescent="0.2">
      <c r="B695" s="229"/>
      <c r="C695" s="230"/>
      <c r="D695" s="230"/>
      <c r="E695" s="230"/>
      <c r="F695" s="230"/>
      <c r="G695" s="230"/>
      <c r="H695" s="231"/>
      <c r="I695" s="231"/>
      <c r="J695" s="231"/>
      <c r="K695" s="231"/>
      <c r="L695" s="232"/>
      <c r="M695" s="231"/>
      <c r="N695" s="232"/>
    </row>
    <row r="696" spans="2:14" s="228" customFormat="1" x14ac:dyDescent="0.2">
      <c r="B696" s="229"/>
      <c r="C696" s="230"/>
      <c r="D696" s="230"/>
      <c r="E696" s="230"/>
      <c r="F696" s="230"/>
      <c r="G696" s="230"/>
      <c r="H696" s="231"/>
      <c r="I696" s="231"/>
      <c r="J696" s="231"/>
      <c r="K696" s="231"/>
      <c r="L696" s="232"/>
      <c r="M696" s="231"/>
      <c r="N696" s="232"/>
    </row>
    <row r="697" spans="2:14" s="228" customFormat="1" x14ac:dyDescent="0.2">
      <c r="B697" s="229"/>
      <c r="C697" s="230"/>
      <c r="D697" s="230"/>
      <c r="E697" s="230"/>
      <c r="F697" s="230"/>
      <c r="G697" s="230"/>
      <c r="H697" s="231"/>
      <c r="I697" s="231"/>
      <c r="J697" s="231"/>
      <c r="K697" s="231"/>
      <c r="L697" s="232"/>
      <c r="M697" s="231"/>
      <c r="N697" s="232"/>
    </row>
    <row r="698" spans="2:14" s="228" customFormat="1" x14ac:dyDescent="0.2">
      <c r="B698" s="229"/>
      <c r="C698" s="230"/>
      <c r="D698" s="230"/>
      <c r="E698" s="230"/>
      <c r="F698" s="230"/>
      <c r="G698" s="230"/>
      <c r="H698" s="231"/>
      <c r="I698" s="231"/>
      <c r="J698" s="231"/>
      <c r="K698" s="231"/>
      <c r="L698" s="232"/>
      <c r="M698" s="231"/>
      <c r="N698" s="232"/>
    </row>
    <row r="699" spans="2:14" s="228" customFormat="1" x14ac:dyDescent="0.2">
      <c r="B699" s="229"/>
      <c r="C699" s="230"/>
      <c r="D699" s="230"/>
      <c r="E699" s="230"/>
      <c r="F699" s="230"/>
      <c r="G699" s="230"/>
      <c r="H699" s="231"/>
      <c r="I699" s="231"/>
      <c r="J699" s="231"/>
      <c r="K699" s="231"/>
      <c r="L699" s="232"/>
      <c r="M699" s="231"/>
      <c r="N699" s="232"/>
    </row>
    <row r="700" spans="2:14" s="228" customFormat="1" x14ac:dyDescent="0.2">
      <c r="B700" s="229"/>
      <c r="C700" s="230"/>
      <c r="D700" s="230"/>
      <c r="E700" s="230"/>
      <c r="F700" s="230"/>
      <c r="G700" s="230"/>
      <c r="H700" s="231"/>
      <c r="I700" s="231"/>
      <c r="J700" s="231"/>
      <c r="K700" s="231"/>
      <c r="L700" s="232"/>
      <c r="M700" s="231"/>
      <c r="N700" s="232"/>
    </row>
    <row r="701" spans="2:14" s="228" customFormat="1" x14ac:dyDescent="0.2">
      <c r="B701" s="229"/>
      <c r="C701" s="230"/>
      <c r="D701" s="230"/>
      <c r="E701" s="230"/>
      <c r="F701" s="230"/>
      <c r="G701" s="230"/>
      <c r="H701" s="231"/>
      <c r="I701" s="231"/>
      <c r="J701" s="231"/>
      <c r="K701" s="231"/>
      <c r="L701" s="232"/>
      <c r="M701" s="231"/>
      <c r="N701" s="232"/>
    </row>
    <row r="702" spans="2:14" s="228" customFormat="1" x14ac:dyDescent="0.2">
      <c r="B702" s="229"/>
      <c r="C702" s="230"/>
      <c r="D702" s="230"/>
      <c r="E702" s="230"/>
      <c r="F702" s="230"/>
      <c r="G702" s="230"/>
      <c r="H702" s="231"/>
      <c r="I702" s="231"/>
      <c r="J702" s="231"/>
      <c r="K702" s="231"/>
      <c r="L702" s="232"/>
      <c r="M702" s="231"/>
      <c r="N702" s="232"/>
    </row>
    <row r="703" spans="2:14" s="228" customFormat="1" x14ac:dyDescent="0.2">
      <c r="B703" s="229"/>
      <c r="C703" s="230"/>
      <c r="D703" s="230"/>
      <c r="E703" s="230"/>
      <c r="F703" s="230"/>
      <c r="G703" s="230"/>
      <c r="H703" s="231"/>
      <c r="I703" s="231"/>
      <c r="J703" s="231"/>
      <c r="K703" s="231"/>
      <c r="L703" s="232"/>
      <c r="M703" s="231"/>
      <c r="N703" s="232"/>
    </row>
    <row r="704" spans="2:14" s="228" customFormat="1" x14ac:dyDescent="0.2">
      <c r="B704" s="229"/>
      <c r="C704" s="230"/>
      <c r="D704" s="230"/>
      <c r="E704" s="230"/>
      <c r="F704" s="230"/>
      <c r="G704" s="230"/>
      <c r="H704" s="231"/>
      <c r="I704" s="231"/>
      <c r="J704" s="231"/>
      <c r="K704" s="231"/>
      <c r="L704" s="232"/>
      <c r="M704" s="231"/>
      <c r="N704" s="232"/>
    </row>
    <row r="705" spans="2:14" s="228" customFormat="1" x14ac:dyDescent="0.2">
      <c r="B705" s="229"/>
      <c r="C705" s="230"/>
      <c r="D705" s="230"/>
      <c r="E705" s="230"/>
      <c r="F705" s="230"/>
      <c r="G705" s="230"/>
      <c r="H705" s="231"/>
      <c r="I705" s="231"/>
      <c r="J705" s="231"/>
      <c r="K705" s="231"/>
      <c r="L705" s="232"/>
      <c r="M705" s="231"/>
      <c r="N705" s="232"/>
    </row>
    <row r="706" spans="2:14" s="228" customFormat="1" x14ac:dyDescent="0.2">
      <c r="B706" s="229"/>
      <c r="C706" s="230"/>
      <c r="D706" s="230"/>
      <c r="E706" s="230"/>
      <c r="F706" s="230"/>
      <c r="G706" s="230"/>
      <c r="H706" s="231"/>
      <c r="I706" s="231"/>
      <c r="J706" s="231"/>
      <c r="K706" s="231"/>
      <c r="L706" s="232"/>
      <c r="M706" s="231"/>
      <c r="N706" s="232"/>
    </row>
    <row r="707" spans="2:14" s="228" customFormat="1" x14ac:dyDescent="0.2">
      <c r="B707" s="229"/>
      <c r="C707" s="230"/>
      <c r="D707" s="230"/>
      <c r="E707" s="230"/>
      <c r="F707" s="230"/>
      <c r="G707" s="230"/>
      <c r="H707" s="231"/>
      <c r="I707" s="231"/>
      <c r="J707" s="231"/>
      <c r="K707" s="231"/>
      <c r="L707" s="232"/>
      <c r="M707" s="231"/>
      <c r="N707" s="232"/>
    </row>
    <row r="708" spans="2:14" s="228" customFormat="1" x14ac:dyDescent="0.2">
      <c r="B708" s="229"/>
      <c r="C708" s="230"/>
      <c r="D708" s="230"/>
      <c r="E708" s="230"/>
      <c r="F708" s="230"/>
      <c r="G708" s="230"/>
      <c r="H708" s="231"/>
      <c r="I708" s="231"/>
      <c r="J708" s="231"/>
      <c r="K708" s="231"/>
      <c r="L708" s="232"/>
      <c r="M708" s="231"/>
      <c r="N708" s="232"/>
    </row>
    <row r="709" spans="2:14" s="228" customFormat="1" x14ac:dyDescent="0.2">
      <c r="B709" s="229"/>
      <c r="C709" s="230"/>
      <c r="D709" s="230"/>
      <c r="E709" s="230"/>
      <c r="F709" s="230"/>
      <c r="G709" s="230"/>
      <c r="H709" s="231"/>
      <c r="I709" s="231"/>
      <c r="J709" s="231"/>
      <c r="K709" s="231"/>
      <c r="L709" s="232"/>
      <c r="M709" s="231"/>
      <c r="N709" s="232"/>
    </row>
    <row r="710" spans="2:14" s="228" customFormat="1" x14ac:dyDescent="0.2">
      <c r="B710" s="229"/>
      <c r="C710" s="230"/>
      <c r="D710" s="230"/>
      <c r="E710" s="230"/>
      <c r="F710" s="230"/>
      <c r="G710" s="230"/>
      <c r="H710" s="231"/>
      <c r="I710" s="231"/>
      <c r="J710" s="231"/>
      <c r="K710" s="231"/>
      <c r="L710" s="232"/>
      <c r="M710" s="231"/>
      <c r="N710" s="232"/>
    </row>
    <row r="711" spans="2:14" s="228" customFormat="1" x14ac:dyDescent="0.2">
      <c r="B711" s="229"/>
      <c r="C711" s="230"/>
      <c r="D711" s="230"/>
      <c r="E711" s="230"/>
      <c r="F711" s="230"/>
      <c r="G711" s="230"/>
      <c r="H711" s="231"/>
      <c r="I711" s="231"/>
      <c r="J711" s="231"/>
      <c r="K711" s="231"/>
      <c r="L711" s="232"/>
      <c r="M711" s="231"/>
      <c r="N711" s="232"/>
    </row>
    <row r="712" spans="2:14" s="228" customFormat="1" x14ac:dyDescent="0.2">
      <c r="B712" s="229"/>
      <c r="C712" s="230"/>
      <c r="D712" s="230"/>
      <c r="E712" s="230"/>
      <c r="F712" s="230"/>
      <c r="G712" s="230"/>
      <c r="H712" s="231"/>
      <c r="I712" s="231"/>
      <c r="J712" s="231"/>
      <c r="K712" s="231"/>
      <c r="L712" s="232"/>
      <c r="M712" s="231"/>
      <c r="N712" s="232"/>
    </row>
    <row r="713" spans="2:14" s="228" customFormat="1" x14ac:dyDescent="0.2">
      <c r="B713" s="229"/>
      <c r="C713" s="230"/>
      <c r="D713" s="230"/>
      <c r="E713" s="230"/>
      <c r="F713" s="230"/>
      <c r="G713" s="230"/>
      <c r="H713" s="231"/>
      <c r="I713" s="231"/>
      <c r="J713" s="231"/>
      <c r="K713" s="231"/>
      <c r="L713" s="232"/>
      <c r="M713" s="231"/>
      <c r="N713" s="232"/>
    </row>
    <row r="714" spans="2:14" s="228" customFormat="1" x14ac:dyDescent="0.2">
      <c r="B714" s="229"/>
      <c r="C714" s="230"/>
      <c r="D714" s="230"/>
      <c r="E714" s="230"/>
      <c r="F714" s="230"/>
      <c r="G714" s="230"/>
      <c r="H714" s="231"/>
      <c r="I714" s="231"/>
      <c r="J714" s="231"/>
      <c r="K714" s="231"/>
      <c r="L714" s="232"/>
      <c r="M714" s="231"/>
      <c r="N714" s="232"/>
    </row>
    <row r="715" spans="2:14" s="228" customFormat="1" x14ac:dyDescent="0.2">
      <c r="B715" s="229"/>
      <c r="C715" s="230"/>
      <c r="D715" s="230"/>
      <c r="E715" s="230"/>
      <c r="F715" s="230"/>
      <c r="G715" s="230"/>
      <c r="H715" s="231"/>
      <c r="I715" s="231"/>
      <c r="J715" s="231"/>
      <c r="K715" s="231"/>
      <c r="L715" s="232"/>
      <c r="M715" s="231"/>
      <c r="N715" s="232"/>
    </row>
    <row r="716" spans="2:14" s="228" customFormat="1" x14ac:dyDescent="0.2">
      <c r="B716" s="229"/>
      <c r="C716" s="230"/>
      <c r="D716" s="230"/>
      <c r="E716" s="230"/>
      <c r="F716" s="230"/>
      <c r="G716" s="230"/>
      <c r="H716" s="231"/>
      <c r="I716" s="231"/>
      <c r="J716" s="231"/>
      <c r="K716" s="231"/>
      <c r="L716" s="232"/>
      <c r="M716" s="231"/>
      <c r="N716" s="232"/>
    </row>
    <row r="717" spans="2:14" s="228" customFormat="1" x14ac:dyDescent="0.2">
      <c r="B717" s="229"/>
      <c r="C717" s="230"/>
      <c r="D717" s="230"/>
      <c r="E717" s="230"/>
      <c r="F717" s="230"/>
      <c r="G717" s="230"/>
      <c r="H717" s="231"/>
      <c r="I717" s="231"/>
      <c r="J717" s="231"/>
      <c r="K717" s="231"/>
      <c r="L717" s="232"/>
      <c r="M717" s="231"/>
      <c r="N717" s="232"/>
    </row>
    <row r="718" spans="2:14" s="228" customFormat="1" x14ac:dyDescent="0.2">
      <c r="B718" s="229"/>
      <c r="C718" s="230"/>
      <c r="D718" s="230"/>
      <c r="E718" s="230"/>
      <c r="F718" s="230"/>
      <c r="G718" s="230"/>
      <c r="H718" s="231"/>
      <c r="I718" s="231"/>
      <c r="J718" s="231"/>
      <c r="K718" s="231"/>
      <c r="L718" s="232"/>
      <c r="M718" s="231"/>
      <c r="N718" s="232"/>
    </row>
    <row r="719" spans="2:14" s="228" customFormat="1" x14ac:dyDescent="0.2">
      <c r="B719" s="229"/>
      <c r="C719" s="230"/>
      <c r="D719" s="230"/>
      <c r="E719" s="230"/>
      <c r="F719" s="230"/>
      <c r="G719" s="230"/>
      <c r="H719" s="231"/>
      <c r="I719" s="231"/>
      <c r="J719" s="231"/>
      <c r="K719" s="231"/>
      <c r="L719" s="232"/>
      <c r="M719" s="231"/>
      <c r="N719" s="232"/>
    </row>
    <row r="720" spans="2:14" s="228" customFormat="1" x14ac:dyDescent="0.2">
      <c r="B720" s="229"/>
      <c r="C720" s="230"/>
      <c r="D720" s="230"/>
      <c r="E720" s="230"/>
      <c r="F720" s="230"/>
      <c r="G720" s="230"/>
      <c r="H720" s="231"/>
      <c r="I720" s="231"/>
      <c r="J720" s="231"/>
      <c r="K720" s="231"/>
      <c r="L720" s="232"/>
      <c r="M720" s="231"/>
      <c r="N720" s="232"/>
    </row>
    <row r="721" spans="2:14" s="228" customFormat="1" x14ac:dyDescent="0.2">
      <c r="B721" s="229"/>
      <c r="C721" s="230"/>
      <c r="D721" s="230"/>
      <c r="E721" s="230"/>
      <c r="F721" s="230"/>
      <c r="G721" s="230"/>
      <c r="H721" s="231"/>
      <c r="I721" s="231"/>
      <c r="J721" s="231"/>
      <c r="K721" s="231"/>
      <c r="L721" s="232"/>
      <c r="M721" s="231"/>
      <c r="N721" s="232"/>
    </row>
    <row r="722" spans="2:14" s="228" customFormat="1" x14ac:dyDescent="0.2">
      <c r="B722" s="229"/>
      <c r="C722" s="230"/>
      <c r="D722" s="230"/>
      <c r="E722" s="230"/>
      <c r="F722" s="230"/>
      <c r="G722" s="230"/>
      <c r="H722" s="231"/>
      <c r="I722" s="231"/>
      <c r="J722" s="231"/>
      <c r="K722" s="231"/>
      <c r="L722" s="232"/>
      <c r="M722" s="231"/>
      <c r="N722" s="232"/>
    </row>
    <row r="723" spans="2:14" s="228" customFormat="1" x14ac:dyDescent="0.2">
      <c r="B723" s="229"/>
      <c r="C723" s="230"/>
      <c r="D723" s="230"/>
      <c r="E723" s="230"/>
      <c r="F723" s="230"/>
      <c r="G723" s="230"/>
      <c r="H723" s="231"/>
      <c r="I723" s="231"/>
      <c r="J723" s="231"/>
      <c r="K723" s="231"/>
      <c r="L723" s="232"/>
      <c r="M723" s="231"/>
      <c r="N723" s="232"/>
    </row>
    <row r="724" spans="2:14" s="228" customFormat="1" x14ac:dyDescent="0.2">
      <c r="B724" s="229"/>
      <c r="C724" s="230"/>
      <c r="D724" s="230"/>
      <c r="E724" s="230"/>
      <c r="F724" s="230"/>
      <c r="G724" s="230"/>
      <c r="H724" s="231"/>
      <c r="I724" s="231"/>
      <c r="J724" s="231"/>
      <c r="K724" s="231"/>
      <c r="L724" s="232"/>
      <c r="M724" s="231"/>
      <c r="N724" s="232"/>
    </row>
    <row r="725" spans="2:14" s="228" customFormat="1" x14ac:dyDescent="0.2">
      <c r="B725" s="229"/>
      <c r="C725" s="230"/>
      <c r="D725" s="230"/>
      <c r="E725" s="230"/>
      <c r="F725" s="230"/>
      <c r="G725" s="230"/>
      <c r="H725" s="231"/>
      <c r="I725" s="231"/>
      <c r="J725" s="231"/>
      <c r="K725" s="231"/>
      <c r="L725" s="232"/>
      <c r="M725" s="231"/>
      <c r="N725" s="232"/>
    </row>
    <row r="726" spans="2:14" s="228" customFormat="1" x14ac:dyDescent="0.2">
      <c r="B726" s="229"/>
      <c r="C726" s="230"/>
      <c r="D726" s="230"/>
      <c r="E726" s="230"/>
      <c r="F726" s="230"/>
      <c r="G726" s="230"/>
      <c r="H726" s="231"/>
      <c r="I726" s="231"/>
      <c r="J726" s="231"/>
      <c r="K726" s="231"/>
      <c r="L726" s="232"/>
      <c r="M726" s="231"/>
      <c r="N726" s="232"/>
    </row>
    <row r="727" spans="2:14" s="228" customFormat="1" x14ac:dyDescent="0.2">
      <c r="B727" s="229"/>
      <c r="C727" s="230"/>
      <c r="D727" s="230"/>
      <c r="E727" s="230"/>
      <c r="F727" s="230"/>
      <c r="G727" s="230"/>
      <c r="H727" s="231"/>
      <c r="I727" s="231"/>
      <c r="J727" s="231"/>
      <c r="K727" s="231"/>
      <c r="L727" s="232"/>
      <c r="M727" s="231"/>
      <c r="N727" s="232"/>
    </row>
    <row r="728" spans="2:14" s="228" customFormat="1" x14ac:dyDescent="0.2">
      <c r="B728" s="229"/>
      <c r="C728" s="230"/>
      <c r="D728" s="230"/>
      <c r="E728" s="230"/>
      <c r="F728" s="230"/>
      <c r="G728" s="230"/>
      <c r="H728" s="231"/>
      <c r="I728" s="231"/>
      <c r="J728" s="231"/>
      <c r="K728" s="231"/>
      <c r="L728" s="232"/>
      <c r="M728" s="231"/>
      <c r="N728" s="232"/>
    </row>
    <row r="729" spans="2:14" s="228" customFormat="1" x14ac:dyDescent="0.2">
      <c r="B729" s="229"/>
      <c r="C729" s="230"/>
      <c r="D729" s="230"/>
      <c r="E729" s="230"/>
      <c r="F729" s="230"/>
      <c r="G729" s="230"/>
      <c r="H729" s="231"/>
      <c r="I729" s="231"/>
      <c r="J729" s="231"/>
      <c r="K729" s="231"/>
      <c r="L729" s="232"/>
      <c r="M729" s="231"/>
      <c r="N729" s="232"/>
    </row>
    <row r="730" spans="2:14" s="228" customFormat="1" x14ac:dyDescent="0.2">
      <c r="B730" s="229"/>
      <c r="C730" s="230"/>
      <c r="D730" s="230"/>
      <c r="E730" s="230"/>
      <c r="F730" s="230"/>
      <c r="G730" s="230"/>
      <c r="H730" s="231"/>
      <c r="I730" s="231"/>
      <c r="J730" s="231"/>
      <c r="K730" s="231"/>
      <c r="L730" s="232"/>
      <c r="M730" s="231"/>
      <c r="N730" s="232"/>
    </row>
    <row r="731" spans="2:14" s="228" customFormat="1" x14ac:dyDescent="0.2">
      <c r="B731" s="229"/>
      <c r="C731" s="230"/>
      <c r="D731" s="230"/>
      <c r="E731" s="230"/>
      <c r="F731" s="230"/>
      <c r="G731" s="230"/>
      <c r="H731" s="231"/>
      <c r="I731" s="231"/>
      <c r="J731" s="231"/>
      <c r="K731" s="231"/>
      <c r="L731" s="232"/>
      <c r="M731" s="231"/>
      <c r="N731" s="232"/>
    </row>
    <row r="732" spans="2:14" s="228" customFormat="1" x14ac:dyDescent="0.2">
      <c r="B732" s="229"/>
      <c r="C732" s="230"/>
      <c r="D732" s="230"/>
      <c r="E732" s="230"/>
      <c r="F732" s="230"/>
      <c r="G732" s="230"/>
      <c r="H732" s="231"/>
      <c r="I732" s="231"/>
      <c r="J732" s="231"/>
      <c r="K732" s="231"/>
      <c r="L732" s="232"/>
      <c r="M732" s="231"/>
      <c r="N732" s="232"/>
    </row>
    <row r="733" spans="2:14" s="228" customFormat="1" x14ac:dyDescent="0.2">
      <c r="B733" s="229"/>
      <c r="C733" s="230"/>
      <c r="D733" s="230"/>
      <c r="E733" s="230"/>
      <c r="F733" s="230"/>
      <c r="G733" s="230"/>
      <c r="H733" s="231"/>
      <c r="I733" s="231"/>
      <c r="J733" s="231"/>
      <c r="K733" s="231"/>
      <c r="L733" s="232"/>
      <c r="M733" s="231"/>
      <c r="N733" s="232"/>
    </row>
    <row r="734" spans="2:14" s="228" customFormat="1" x14ac:dyDescent="0.2">
      <c r="B734" s="229"/>
      <c r="C734" s="230"/>
      <c r="D734" s="230"/>
      <c r="E734" s="230"/>
      <c r="F734" s="230"/>
      <c r="G734" s="230"/>
      <c r="H734" s="231"/>
      <c r="I734" s="231"/>
      <c r="J734" s="231"/>
      <c r="K734" s="231"/>
      <c r="L734" s="232"/>
      <c r="M734" s="231"/>
      <c r="N734" s="232"/>
    </row>
    <row r="735" spans="2:14" s="228" customFormat="1" x14ac:dyDescent="0.2">
      <c r="B735" s="229"/>
      <c r="C735" s="230"/>
      <c r="D735" s="230"/>
      <c r="E735" s="230"/>
      <c r="F735" s="230"/>
      <c r="G735" s="230"/>
      <c r="H735" s="231"/>
      <c r="I735" s="231"/>
      <c r="J735" s="231"/>
      <c r="K735" s="231"/>
      <c r="L735" s="232"/>
      <c r="M735" s="231"/>
      <c r="N735" s="232"/>
    </row>
    <row r="736" spans="2:14" s="228" customFormat="1" x14ac:dyDescent="0.2">
      <c r="B736" s="229"/>
      <c r="C736" s="230"/>
      <c r="D736" s="230"/>
      <c r="E736" s="230"/>
      <c r="F736" s="230"/>
      <c r="G736" s="230"/>
      <c r="H736" s="231"/>
      <c r="I736" s="231"/>
      <c r="J736" s="231"/>
      <c r="K736" s="231"/>
      <c r="L736" s="232"/>
      <c r="M736" s="231"/>
      <c r="N736" s="232"/>
    </row>
    <row r="737" spans="2:14" s="228" customFormat="1" x14ac:dyDescent="0.2">
      <c r="B737" s="229"/>
      <c r="C737" s="230"/>
      <c r="D737" s="230"/>
      <c r="E737" s="230"/>
      <c r="F737" s="230"/>
      <c r="G737" s="230"/>
      <c r="H737" s="231"/>
      <c r="I737" s="231"/>
      <c r="J737" s="231"/>
      <c r="K737" s="231"/>
      <c r="L737" s="232"/>
      <c r="M737" s="231"/>
      <c r="N737" s="232"/>
    </row>
    <row r="738" spans="2:14" s="228" customFormat="1" x14ac:dyDescent="0.2">
      <c r="B738" s="229"/>
      <c r="C738" s="230"/>
      <c r="D738" s="230"/>
      <c r="E738" s="230"/>
      <c r="F738" s="230"/>
      <c r="G738" s="230"/>
      <c r="H738" s="231"/>
      <c r="I738" s="231"/>
      <c r="J738" s="231"/>
      <c r="K738" s="231"/>
      <c r="L738" s="232"/>
      <c r="M738" s="231"/>
      <c r="N738" s="232"/>
    </row>
    <row r="739" spans="2:14" s="228" customFormat="1" x14ac:dyDescent="0.2">
      <c r="B739" s="229"/>
      <c r="C739" s="230"/>
      <c r="D739" s="230"/>
      <c r="E739" s="230"/>
      <c r="F739" s="230"/>
      <c r="G739" s="230"/>
      <c r="H739" s="231"/>
      <c r="I739" s="231"/>
      <c r="J739" s="231"/>
      <c r="K739" s="231"/>
      <c r="L739" s="232"/>
      <c r="M739" s="231"/>
      <c r="N739" s="232"/>
    </row>
    <row r="740" spans="2:14" s="228" customFormat="1" x14ac:dyDescent="0.2">
      <c r="B740" s="229"/>
      <c r="C740" s="230"/>
      <c r="D740" s="230"/>
      <c r="E740" s="230"/>
      <c r="F740" s="230"/>
      <c r="G740" s="230"/>
      <c r="H740" s="231"/>
      <c r="I740" s="231"/>
      <c r="J740" s="231"/>
      <c r="K740" s="231"/>
      <c r="L740" s="232"/>
      <c r="M740" s="231"/>
      <c r="N740" s="232"/>
    </row>
    <row r="741" spans="2:14" s="228" customFormat="1" x14ac:dyDescent="0.2">
      <c r="B741" s="229"/>
      <c r="C741" s="230"/>
      <c r="D741" s="230"/>
      <c r="E741" s="230"/>
      <c r="F741" s="230"/>
      <c r="G741" s="230"/>
      <c r="H741" s="231"/>
      <c r="I741" s="231"/>
      <c r="J741" s="231"/>
      <c r="K741" s="231"/>
      <c r="L741" s="232"/>
      <c r="M741" s="231"/>
      <c r="N741" s="232"/>
    </row>
    <row r="742" spans="2:14" s="228" customFormat="1" x14ac:dyDescent="0.2">
      <c r="B742" s="229"/>
      <c r="C742" s="230"/>
      <c r="D742" s="230"/>
      <c r="E742" s="230"/>
      <c r="F742" s="230"/>
      <c r="G742" s="230"/>
      <c r="H742" s="231"/>
      <c r="I742" s="231"/>
      <c r="J742" s="231"/>
      <c r="K742" s="231"/>
      <c r="L742" s="232"/>
      <c r="M742" s="231"/>
      <c r="N742" s="232"/>
    </row>
    <row r="743" spans="2:14" s="228" customFormat="1" x14ac:dyDescent="0.2">
      <c r="B743" s="229"/>
      <c r="C743" s="230"/>
      <c r="D743" s="230"/>
      <c r="E743" s="230"/>
      <c r="F743" s="230"/>
      <c r="G743" s="230"/>
      <c r="H743" s="231"/>
      <c r="I743" s="231"/>
      <c r="J743" s="231"/>
      <c r="K743" s="231"/>
      <c r="L743" s="232"/>
      <c r="M743" s="231"/>
      <c r="N743" s="232"/>
    </row>
    <row r="744" spans="2:14" s="228" customFormat="1" x14ac:dyDescent="0.2">
      <c r="B744" s="229"/>
      <c r="C744" s="230"/>
      <c r="D744" s="230"/>
      <c r="E744" s="230"/>
      <c r="F744" s="230"/>
      <c r="G744" s="230"/>
      <c r="H744" s="231"/>
      <c r="I744" s="231"/>
      <c r="J744" s="231"/>
      <c r="K744" s="231"/>
      <c r="L744" s="232"/>
      <c r="M744" s="231"/>
      <c r="N744" s="232"/>
    </row>
    <row r="745" spans="2:14" s="228" customFormat="1" x14ac:dyDescent="0.2">
      <c r="B745" s="229"/>
      <c r="C745" s="230"/>
      <c r="D745" s="230"/>
      <c r="E745" s="230"/>
      <c r="F745" s="230"/>
      <c r="G745" s="230"/>
      <c r="H745" s="231"/>
      <c r="I745" s="231"/>
      <c r="J745" s="231"/>
      <c r="K745" s="231"/>
      <c r="L745" s="232"/>
      <c r="M745" s="231"/>
      <c r="N745" s="232"/>
    </row>
    <row r="746" spans="2:14" s="228" customFormat="1" x14ac:dyDescent="0.2">
      <c r="B746" s="229"/>
      <c r="C746" s="230"/>
      <c r="D746" s="230"/>
      <c r="E746" s="230"/>
      <c r="F746" s="230"/>
      <c r="G746" s="230"/>
      <c r="H746" s="231"/>
      <c r="I746" s="231"/>
      <c r="J746" s="231"/>
      <c r="K746" s="231"/>
      <c r="L746" s="232"/>
      <c r="M746" s="231"/>
      <c r="N746" s="232"/>
    </row>
    <row r="747" spans="2:14" s="228" customFormat="1" x14ac:dyDescent="0.2">
      <c r="B747" s="229"/>
      <c r="C747" s="230"/>
      <c r="D747" s="230"/>
      <c r="E747" s="230"/>
      <c r="F747" s="230"/>
      <c r="G747" s="230"/>
      <c r="H747" s="231"/>
      <c r="I747" s="231"/>
      <c r="J747" s="231"/>
      <c r="K747" s="231"/>
      <c r="L747" s="232"/>
      <c r="M747" s="231"/>
      <c r="N747" s="232"/>
    </row>
    <row r="748" spans="2:14" s="228" customFormat="1" x14ac:dyDescent="0.2">
      <c r="B748" s="229"/>
      <c r="C748" s="230"/>
      <c r="D748" s="230"/>
      <c r="E748" s="230"/>
      <c r="F748" s="230"/>
      <c r="G748" s="230"/>
      <c r="H748" s="231"/>
      <c r="I748" s="231"/>
      <c r="J748" s="231"/>
      <c r="K748" s="231"/>
      <c r="L748" s="232"/>
      <c r="M748" s="231"/>
      <c r="N748" s="232"/>
    </row>
    <row r="749" spans="2:14" s="228" customFormat="1" x14ac:dyDescent="0.2">
      <c r="B749" s="229"/>
      <c r="C749" s="230"/>
      <c r="D749" s="230"/>
      <c r="E749" s="230"/>
      <c r="F749" s="230"/>
      <c r="G749" s="230"/>
      <c r="H749" s="231"/>
      <c r="I749" s="231"/>
      <c r="J749" s="231"/>
      <c r="K749" s="231"/>
      <c r="L749" s="232"/>
      <c r="M749" s="231"/>
      <c r="N749" s="232"/>
    </row>
    <row r="750" spans="2:14" s="228" customFormat="1" x14ac:dyDescent="0.2">
      <c r="B750" s="229"/>
      <c r="C750" s="230"/>
      <c r="D750" s="230"/>
      <c r="E750" s="230"/>
      <c r="F750" s="230"/>
      <c r="G750" s="230"/>
      <c r="H750" s="231"/>
      <c r="I750" s="231"/>
      <c r="J750" s="231"/>
      <c r="K750" s="231"/>
      <c r="L750" s="232"/>
      <c r="M750" s="231"/>
      <c r="N750" s="232"/>
    </row>
    <row r="751" spans="2:14" s="228" customFormat="1" x14ac:dyDescent="0.2">
      <c r="B751" s="229"/>
      <c r="C751" s="230"/>
      <c r="D751" s="230"/>
      <c r="E751" s="230"/>
      <c r="F751" s="230"/>
      <c r="G751" s="230"/>
      <c r="H751" s="231"/>
      <c r="I751" s="231"/>
      <c r="J751" s="231"/>
      <c r="K751" s="231"/>
      <c r="L751" s="232"/>
      <c r="M751" s="231"/>
      <c r="N751" s="232"/>
    </row>
    <row r="752" spans="2:14" s="228" customFormat="1" x14ac:dyDescent="0.2">
      <c r="B752" s="229"/>
      <c r="C752" s="230"/>
      <c r="D752" s="230"/>
      <c r="E752" s="230"/>
      <c r="F752" s="230"/>
      <c r="G752" s="230"/>
      <c r="H752" s="231"/>
      <c r="I752" s="231"/>
      <c r="J752" s="231"/>
      <c r="K752" s="231"/>
      <c r="L752" s="232"/>
      <c r="M752" s="231"/>
      <c r="N752" s="232"/>
    </row>
    <row r="753" spans="2:14" s="228" customFormat="1" x14ac:dyDescent="0.2">
      <c r="B753" s="229"/>
      <c r="C753" s="230"/>
      <c r="D753" s="230"/>
      <c r="E753" s="230"/>
      <c r="F753" s="230"/>
      <c r="G753" s="230"/>
      <c r="H753" s="231"/>
      <c r="I753" s="231"/>
      <c r="J753" s="231"/>
      <c r="K753" s="231"/>
      <c r="L753" s="232"/>
      <c r="M753" s="231"/>
      <c r="N753" s="232"/>
    </row>
    <row r="754" spans="2:14" s="228" customFormat="1" x14ac:dyDescent="0.2">
      <c r="B754" s="229"/>
      <c r="C754" s="230"/>
      <c r="D754" s="230"/>
      <c r="E754" s="230"/>
      <c r="F754" s="230"/>
      <c r="G754" s="230"/>
      <c r="H754" s="231"/>
      <c r="I754" s="231"/>
      <c r="J754" s="231"/>
      <c r="K754" s="231"/>
      <c r="L754" s="232"/>
      <c r="M754" s="231"/>
      <c r="N754" s="232"/>
    </row>
    <row r="755" spans="2:14" s="228" customFormat="1" x14ac:dyDescent="0.2">
      <c r="B755" s="229"/>
      <c r="C755" s="230"/>
      <c r="D755" s="230"/>
      <c r="E755" s="230"/>
      <c r="F755" s="230"/>
      <c r="G755" s="230"/>
      <c r="H755" s="231"/>
      <c r="I755" s="231"/>
      <c r="J755" s="231"/>
      <c r="K755" s="231"/>
      <c r="L755" s="232"/>
      <c r="M755" s="231"/>
      <c r="N755" s="232"/>
    </row>
    <row r="756" spans="2:14" s="228" customFormat="1" x14ac:dyDescent="0.2">
      <c r="B756" s="229"/>
      <c r="C756" s="230"/>
      <c r="D756" s="230"/>
      <c r="E756" s="230"/>
      <c r="F756" s="230"/>
      <c r="G756" s="230"/>
      <c r="H756" s="231"/>
      <c r="I756" s="231"/>
      <c r="J756" s="231"/>
      <c r="K756" s="231"/>
      <c r="L756" s="232"/>
      <c r="M756" s="231"/>
      <c r="N756" s="232"/>
    </row>
    <row r="757" spans="2:14" s="228" customFormat="1" x14ac:dyDescent="0.2">
      <c r="B757" s="229"/>
      <c r="C757" s="230"/>
      <c r="D757" s="230"/>
      <c r="E757" s="230"/>
      <c r="F757" s="230"/>
      <c r="G757" s="230"/>
      <c r="H757" s="231"/>
      <c r="I757" s="231"/>
      <c r="J757" s="231"/>
      <c r="K757" s="231"/>
      <c r="L757" s="232"/>
      <c r="M757" s="231"/>
      <c r="N757" s="232"/>
    </row>
    <row r="758" spans="2:14" s="228" customFormat="1" x14ac:dyDescent="0.2">
      <c r="B758" s="229"/>
      <c r="C758" s="230"/>
      <c r="D758" s="230"/>
      <c r="E758" s="230"/>
      <c r="F758" s="230"/>
      <c r="G758" s="230"/>
      <c r="H758" s="231"/>
      <c r="I758" s="231"/>
      <c r="J758" s="231"/>
      <c r="K758" s="231"/>
      <c r="L758" s="232"/>
      <c r="M758" s="231"/>
      <c r="N758" s="232"/>
    </row>
    <row r="759" spans="2:14" s="228" customFormat="1" x14ac:dyDescent="0.2">
      <c r="B759" s="229"/>
      <c r="C759" s="230"/>
      <c r="D759" s="230"/>
      <c r="E759" s="230"/>
      <c r="F759" s="230"/>
      <c r="G759" s="230"/>
      <c r="H759" s="231"/>
      <c r="I759" s="231"/>
      <c r="J759" s="231"/>
      <c r="K759" s="231"/>
      <c r="L759" s="232"/>
      <c r="M759" s="231"/>
      <c r="N759" s="232"/>
    </row>
    <row r="760" spans="2:14" s="228" customFormat="1" x14ac:dyDescent="0.2">
      <c r="B760" s="229"/>
      <c r="C760" s="230"/>
      <c r="D760" s="230"/>
      <c r="E760" s="230"/>
      <c r="F760" s="230"/>
      <c r="G760" s="230"/>
      <c r="H760" s="231"/>
      <c r="I760" s="231"/>
      <c r="J760" s="231"/>
      <c r="K760" s="231"/>
      <c r="L760" s="232"/>
      <c r="M760" s="231"/>
      <c r="N760" s="232"/>
    </row>
    <row r="761" spans="2:14" s="228" customFormat="1" x14ac:dyDescent="0.2">
      <c r="B761" s="229"/>
      <c r="C761" s="230"/>
      <c r="D761" s="230"/>
      <c r="E761" s="230"/>
      <c r="F761" s="230"/>
      <c r="G761" s="230"/>
      <c r="H761" s="231"/>
      <c r="I761" s="231"/>
      <c r="J761" s="231"/>
      <c r="K761" s="231"/>
      <c r="L761" s="232"/>
      <c r="M761" s="231"/>
      <c r="N761" s="232"/>
    </row>
    <row r="762" spans="2:14" s="228" customFormat="1" x14ac:dyDescent="0.2">
      <c r="B762" s="229"/>
      <c r="C762" s="230"/>
      <c r="D762" s="230"/>
      <c r="E762" s="230"/>
      <c r="F762" s="230"/>
      <c r="G762" s="230"/>
      <c r="H762" s="231"/>
      <c r="I762" s="231"/>
      <c r="J762" s="231"/>
      <c r="K762" s="231"/>
      <c r="L762" s="232"/>
      <c r="M762" s="231"/>
      <c r="N762" s="232"/>
    </row>
    <row r="763" spans="2:14" s="228" customFormat="1" x14ac:dyDescent="0.2">
      <c r="B763" s="229"/>
      <c r="C763" s="230"/>
      <c r="D763" s="230"/>
      <c r="E763" s="230"/>
      <c r="F763" s="230"/>
      <c r="G763" s="230"/>
      <c r="H763" s="231"/>
      <c r="I763" s="231"/>
      <c r="J763" s="231"/>
      <c r="K763" s="231"/>
      <c r="L763" s="232"/>
      <c r="M763" s="231"/>
      <c r="N763" s="232"/>
    </row>
    <row r="764" spans="2:14" s="228" customFormat="1" x14ac:dyDescent="0.2">
      <c r="B764" s="229"/>
      <c r="C764" s="230"/>
      <c r="D764" s="230"/>
      <c r="E764" s="230"/>
      <c r="F764" s="230"/>
      <c r="G764" s="230"/>
      <c r="H764" s="231"/>
      <c r="I764" s="231"/>
      <c r="J764" s="231"/>
      <c r="K764" s="231"/>
      <c r="L764" s="232"/>
      <c r="M764" s="231"/>
      <c r="N764" s="232"/>
    </row>
    <row r="765" spans="2:14" s="228" customFormat="1" x14ac:dyDescent="0.2">
      <c r="B765" s="229"/>
      <c r="C765" s="230"/>
      <c r="D765" s="230"/>
      <c r="E765" s="230"/>
      <c r="F765" s="230"/>
      <c r="G765" s="230"/>
      <c r="H765" s="231"/>
      <c r="I765" s="231"/>
      <c r="J765" s="231"/>
      <c r="K765" s="231"/>
      <c r="L765" s="232"/>
      <c r="M765" s="231"/>
      <c r="N765" s="232"/>
    </row>
    <row r="766" spans="2:14" s="228" customFormat="1" x14ac:dyDescent="0.2">
      <c r="B766" s="229"/>
      <c r="C766" s="230"/>
      <c r="D766" s="230"/>
      <c r="E766" s="230"/>
      <c r="F766" s="230"/>
      <c r="G766" s="230"/>
      <c r="H766" s="231"/>
      <c r="I766" s="231"/>
      <c r="J766" s="231"/>
      <c r="K766" s="231"/>
      <c r="L766" s="232"/>
      <c r="M766" s="231"/>
      <c r="N766" s="232"/>
    </row>
    <row r="767" spans="2:14" s="228" customFormat="1" x14ac:dyDescent="0.2">
      <c r="B767" s="229"/>
      <c r="C767" s="230"/>
      <c r="D767" s="230"/>
      <c r="E767" s="230"/>
      <c r="F767" s="230"/>
      <c r="G767" s="230"/>
      <c r="H767" s="231"/>
      <c r="I767" s="231"/>
      <c r="J767" s="231"/>
      <c r="K767" s="231"/>
      <c r="L767" s="232"/>
      <c r="M767" s="231"/>
      <c r="N767" s="232"/>
    </row>
    <row r="768" spans="2:14" s="228" customFormat="1" x14ac:dyDescent="0.2">
      <c r="B768" s="229"/>
      <c r="C768" s="230"/>
      <c r="D768" s="230"/>
      <c r="E768" s="230"/>
      <c r="F768" s="230"/>
      <c r="G768" s="230"/>
      <c r="H768" s="231"/>
      <c r="I768" s="231"/>
      <c r="J768" s="231"/>
      <c r="K768" s="231"/>
      <c r="L768" s="232"/>
      <c r="M768" s="231"/>
      <c r="N768" s="232"/>
    </row>
    <row r="769" spans="2:14" s="228" customFormat="1" x14ac:dyDescent="0.2">
      <c r="B769" s="229"/>
      <c r="C769" s="230"/>
      <c r="D769" s="230"/>
      <c r="E769" s="230"/>
      <c r="F769" s="230"/>
      <c r="G769" s="230"/>
      <c r="H769" s="231"/>
      <c r="I769" s="231"/>
      <c r="J769" s="231"/>
      <c r="K769" s="231"/>
      <c r="L769" s="232"/>
      <c r="M769" s="231"/>
      <c r="N769" s="232"/>
    </row>
    <row r="770" spans="2:14" s="228" customFormat="1" x14ac:dyDescent="0.2">
      <c r="B770" s="229"/>
      <c r="C770" s="230"/>
      <c r="D770" s="230"/>
      <c r="E770" s="230"/>
      <c r="F770" s="230"/>
      <c r="G770" s="230"/>
      <c r="H770" s="231"/>
      <c r="I770" s="231"/>
      <c r="J770" s="231"/>
      <c r="K770" s="231"/>
      <c r="L770" s="232"/>
      <c r="M770" s="231"/>
      <c r="N770" s="232"/>
    </row>
    <row r="771" spans="2:14" s="228" customFormat="1" x14ac:dyDescent="0.2">
      <c r="B771" s="229"/>
      <c r="C771" s="230"/>
      <c r="D771" s="230"/>
      <c r="E771" s="230"/>
      <c r="F771" s="230"/>
      <c r="G771" s="230"/>
      <c r="H771" s="231"/>
      <c r="I771" s="231"/>
      <c r="J771" s="231"/>
      <c r="K771" s="231"/>
      <c r="L771" s="232"/>
      <c r="M771" s="231"/>
      <c r="N771" s="232"/>
    </row>
    <row r="772" spans="2:14" s="228" customFormat="1" x14ac:dyDescent="0.2">
      <c r="B772" s="229"/>
      <c r="C772" s="230"/>
      <c r="D772" s="230"/>
      <c r="E772" s="230"/>
      <c r="F772" s="230"/>
      <c r="G772" s="230"/>
      <c r="H772" s="231"/>
      <c r="I772" s="231"/>
      <c r="J772" s="231"/>
      <c r="K772" s="231"/>
      <c r="L772" s="232"/>
      <c r="M772" s="231"/>
      <c r="N772" s="232"/>
    </row>
    <row r="773" spans="2:14" s="228" customFormat="1" x14ac:dyDescent="0.2">
      <c r="B773" s="229"/>
      <c r="C773" s="230"/>
      <c r="D773" s="230"/>
      <c r="E773" s="230"/>
      <c r="F773" s="230"/>
      <c r="G773" s="230"/>
      <c r="H773" s="231"/>
      <c r="I773" s="231"/>
      <c r="J773" s="231"/>
      <c r="K773" s="231"/>
      <c r="L773" s="232"/>
      <c r="M773" s="231"/>
      <c r="N773" s="232"/>
    </row>
    <row r="774" spans="2:14" s="228" customFormat="1" x14ac:dyDescent="0.2">
      <c r="B774" s="229"/>
      <c r="C774" s="230"/>
      <c r="D774" s="230"/>
      <c r="E774" s="230"/>
      <c r="F774" s="230"/>
      <c r="G774" s="230"/>
      <c r="H774" s="231"/>
      <c r="I774" s="231"/>
      <c r="J774" s="231"/>
      <c r="K774" s="231"/>
      <c r="L774" s="232"/>
      <c r="M774" s="231"/>
      <c r="N774" s="232"/>
    </row>
    <row r="775" spans="2:14" s="228" customFormat="1" x14ac:dyDescent="0.2">
      <c r="B775" s="229"/>
      <c r="C775" s="230"/>
      <c r="D775" s="230"/>
      <c r="E775" s="230"/>
      <c r="F775" s="230"/>
      <c r="G775" s="230"/>
      <c r="H775" s="231"/>
      <c r="I775" s="231"/>
      <c r="J775" s="231"/>
      <c r="K775" s="231"/>
      <c r="L775" s="232"/>
      <c r="M775" s="231"/>
      <c r="N775" s="232"/>
    </row>
    <row r="776" spans="2:14" s="228" customFormat="1" x14ac:dyDescent="0.2">
      <c r="B776" s="229"/>
      <c r="C776" s="230"/>
      <c r="D776" s="230"/>
      <c r="E776" s="230"/>
      <c r="F776" s="230"/>
      <c r="G776" s="230"/>
      <c r="H776" s="231"/>
      <c r="I776" s="231"/>
      <c r="J776" s="231"/>
      <c r="K776" s="231"/>
      <c r="L776" s="232"/>
      <c r="M776" s="231"/>
      <c r="N776" s="232"/>
    </row>
    <row r="777" spans="2:14" s="228" customFormat="1" x14ac:dyDescent="0.2">
      <c r="B777" s="229"/>
      <c r="C777" s="230"/>
      <c r="D777" s="230"/>
      <c r="E777" s="230"/>
      <c r="F777" s="230"/>
      <c r="G777" s="230"/>
      <c r="H777" s="231"/>
      <c r="I777" s="231"/>
      <c r="J777" s="231"/>
      <c r="K777" s="231"/>
      <c r="L777" s="232"/>
      <c r="M777" s="231"/>
      <c r="N777" s="232"/>
    </row>
    <row r="778" spans="2:14" s="228" customFormat="1" x14ac:dyDescent="0.2">
      <c r="B778" s="229"/>
      <c r="C778" s="230"/>
      <c r="D778" s="230"/>
      <c r="E778" s="230"/>
      <c r="F778" s="230"/>
      <c r="G778" s="230"/>
      <c r="H778" s="231"/>
      <c r="I778" s="231"/>
      <c r="J778" s="231"/>
      <c r="K778" s="231"/>
      <c r="L778" s="232"/>
      <c r="M778" s="231"/>
      <c r="N778" s="232"/>
    </row>
    <row r="779" spans="2:14" s="228" customFormat="1" x14ac:dyDescent="0.2">
      <c r="B779" s="229"/>
      <c r="C779" s="230"/>
      <c r="D779" s="230"/>
      <c r="E779" s="230"/>
      <c r="F779" s="230"/>
      <c r="G779" s="230"/>
      <c r="H779" s="231"/>
      <c r="I779" s="231"/>
      <c r="J779" s="231"/>
      <c r="K779" s="231"/>
      <c r="L779" s="232"/>
      <c r="M779" s="231"/>
      <c r="N779" s="232"/>
    </row>
    <row r="780" spans="2:14" s="228" customFormat="1" x14ac:dyDescent="0.2">
      <c r="B780" s="229"/>
      <c r="C780" s="230"/>
      <c r="D780" s="230"/>
      <c r="E780" s="230"/>
      <c r="F780" s="230"/>
      <c r="G780" s="230"/>
      <c r="H780" s="231"/>
      <c r="I780" s="231"/>
      <c r="J780" s="231"/>
      <c r="K780" s="231"/>
      <c r="L780" s="232"/>
      <c r="M780" s="231"/>
      <c r="N780" s="232"/>
    </row>
    <row r="781" spans="2:14" s="228" customFormat="1" x14ac:dyDescent="0.2">
      <c r="B781" s="229"/>
      <c r="C781" s="230"/>
      <c r="D781" s="230"/>
      <c r="E781" s="230"/>
      <c r="F781" s="230"/>
      <c r="G781" s="230"/>
      <c r="H781" s="231"/>
      <c r="I781" s="231"/>
      <c r="J781" s="231"/>
      <c r="K781" s="231"/>
      <c r="L781" s="232"/>
      <c r="M781" s="231"/>
      <c r="N781" s="232"/>
    </row>
    <row r="782" spans="2:14" s="228" customFormat="1" x14ac:dyDescent="0.2">
      <c r="B782" s="229"/>
      <c r="C782" s="230"/>
      <c r="D782" s="230"/>
      <c r="E782" s="230"/>
      <c r="F782" s="230"/>
      <c r="G782" s="230"/>
      <c r="H782" s="231"/>
      <c r="I782" s="231"/>
      <c r="J782" s="231"/>
      <c r="K782" s="231"/>
      <c r="L782" s="232"/>
      <c r="M782" s="231"/>
      <c r="N782" s="232"/>
    </row>
    <row r="783" spans="2:14" s="228" customFormat="1" x14ac:dyDescent="0.2">
      <c r="B783" s="229"/>
      <c r="C783" s="230"/>
      <c r="D783" s="230"/>
      <c r="E783" s="230"/>
      <c r="F783" s="230"/>
      <c r="G783" s="230"/>
      <c r="H783" s="231"/>
      <c r="I783" s="231"/>
      <c r="J783" s="231"/>
      <c r="K783" s="231"/>
      <c r="L783" s="232"/>
      <c r="M783" s="231"/>
      <c r="N783" s="232"/>
    </row>
    <row r="784" spans="2:14" s="228" customFormat="1" x14ac:dyDescent="0.2">
      <c r="B784" s="229"/>
      <c r="C784" s="230"/>
      <c r="D784" s="230"/>
      <c r="E784" s="230"/>
      <c r="F784" s="230"/>
      <c r="G784" s="230"/>
      <c r="H784" s="231"/>
      <c r="I784" s="231"/>
      <c r="J784" s="231"/>
      <c r="K784" s="231"/>
      <c r="L784" s="232"/>
      <c r="M784" s="231"/>
      <c r="N784" s="232"/>
    </row>
    <row r="785" spans="2:14" s="228" customFormat="1" x14ac:dyDescent="0.2">
      <c r="B785" s="229"/>
      <c r="C785" s="230"/>
      <c r="D785" s="230"/>
      <c r="E785" s="230"/>
      <c r="F785" s="230"/>
      <c r="G785" s="230"/>
      <c r="H785" s="231"/>
      <c r="I785" s="231"/>
      <c r="J785" s="231"/>
      <c r="K785" s="231"/>
      <c r="L785" s="232"/>
      <c r="M785" s="231"/>
      <c r="N785" s="232"/>
    </row>
    <row r="786" spans="2:14" s="228" customFormat="1" x14ac:dyDescent="0.2">
      <c r="B786" s="229"/>
      <c r="C786" s="230"/>
      <c r="D786" s="230"/>
      <c r="E786" s="230"/>
      <c r="F786" s="230"/>
      <c r="G786" s="230"/>
      <c r="H786" s="231"/>
      <c r="I786" s="231"/>
      <c r="J786" s="231"/>
      <c r="K786" s="231"/>
      <c r="L786" s="232"/>
      <c r="M786" s="231"/>
      <c r="N786" s="232"/>
    </row>
    <row r="787" spans="2:14" s="228" customFormat="1" x14ac:dyDescent="0.2">
      <c r="B787" s="229"/>
      <c r="C787" s="230"/>
      <c r="D787" s="230"/>
      <c r="E787" s="230"/>
      <c r="F787" s="230"/>
      <c r="G787" s="230"/>
      <c r="H787" s="231"/>
      <c r="I787" s="231"/>
      <c r="J787" s="231"/>
      <c r="K787" s="231"/>
      <c r="L787" s="232"/>
      <c r="M787" s="231"/>
      <c r="N787" s="232"/>
    </row>
    <row r="788" spans="2:14" s="228" customFormat="1" x14ac:dyDescent="0.2">
      <c r="B788" s="229"/>
      <c r="C788" s="230"/>
      <c r="D788" s="230"/>
      <c r="E788" s="230"/>
      <c r="F788" s="230"/>
      <c r="G788" s="230"/>
      <c r="H788" s="231"/>
      <c r="I788" s="231"/>
      <c r="J788" s="231"/>
      <c r="K788" s="231"/>
      <c r="L788" s="232"/>
      <c r="M788" s="231"/>
      <c r="N788" s="232"/>
    </row>
    <row r="789" spans="2:14" s="228" customFormat="1" x14ac:dyDescent="0.2">
      <c r="B789" s="229"/>
      <c r="C789" s="230"/>
      <c r="D789" s="230"/>
      <c r="E789" s="230"/>
      <c r="F789" s="230"/>
      <c r="G789" s="230"/>
      <c r="H789" s="231"/>
      <c r="I789" s="231"/>
      <c r="J789" s="231"/>
      <c r="K789" s="231"/>
      <c r="L789" s="232"/>
      <c r="M789" s="231"/>
      <c r="N789" s="232"/>
    </row>
    <row r="790" spans="2:14" s="228" customFormat="1" x14ac:dyDescent="0.2">
      <c r="B790" s="229"/>
      <c r="C790" s="230"/>
      <c r="D790" s="230"/>
      <c r="E790" s="230"/>
      <c r="F790" s="230"/>
      <c r="G790" s="230"/>
      <c r="H790" s="231"/>
      <c r="I790" s="231"/>
      <c r="J790" s="231"/>
      <c r="K790" s="231"/>
      <c r="L790" s="232"/>
      <c r="M790" s="231"/>
      <c r="N790" s="232"/>
    </row>
    <row r="791" spans="2:14" s="228" customFormat="1" x14ac:dyDescent="0.2">
      <c r="B791" s="229"/>
      <c r="C791" s="230"/>
      <c r="D791" s="230"/>
      <c r="E791" s="230"/>
      <c r="F791" s="230"/>
      <c r="G791" s="230"/>
      <c r="H791" s="231"/>
      <c r="I791" s="231"/>
      <c r="J791" s="231"/>
      <c r="K791" s="231"/>
      <c r="L791" s="232"/>
      <c r="M791" s="231"/>
      <c r="N791" s="232"/>
    </row>
    <row r="792" spans="2:14" s="228" customFormat="1" x14ac:dyDescent="0.2">
      <c r="B792" s="229"/>
      <c r="C792" s="230"/>
      <c r="D792" s="230"/>
      <c r="E792" s="230"/>
      <c r="F792" s="230"/>
      <c r="G792" s="230"/>
      <c r="H792" s="231"/>
      <c r="I792" s="231"/>
      <c r="J792" s="231"/>
      <c r="K792" s="231"/>
      <c r="L792" s="232"/>
      <c r="M792" s="231"/>
      <c r="N792" s="232"/>
    </row>
    <row r="793" spans="2:14" s="228" customFormat="1" x14ac:dyDescent="0.2">
      <c r="B793" s="229"/>
      <c r="C793" s="230"/>
      <c r="D793" s="230"/>
      <c r="E793" s="230"/>
      <c r="F793" s="230"/>
      <c r="G793" s="230"/>
      <c r="H793" s="231"/>
      <c r="I793" s="231"/>
      <c r="J793" s="231"/>
      <c r="K793" s="231"/>
      <c r="L793" s="232"/>
      <c r="M793" s="231"/>
      <c r="N793" s="232"/>
    </row>
    <row r="794" spans="2:14" s="228" customFormat="1" x14ac:dyDescent="0.2">
      <c r="B794" s="229"/>
      <c r="C794" s="230"/>
      <c r="D794" s="230"/>
      <c r="E794" s="230"/>
      <c r="F794" s="230"/>
      <c r="G794" s="230"/>
      <c r="H794" s="231"/>
      <c r="I794" s="231"/>
      <c r="J794" s="231"/>
      <c r="K794" s="231"/>
      <c r="L794" s="232"/>
      <c r="M794" s="231"/>
      <c r="N794" s="232"/>
    </row>
    <row r="795" spans="2:14" s="228" customFormat="1" x14ac:dyDescent="0.2">
      <c r="B795" s="229"/>
      <c r="C795" s="230"/>
      <c r="D795" s="230"/>
      <c r="E795" s="230"/>
      <c r="F795" s="230"/>
      <c r="G795" s="230"/>
      <c r="H795" s="231"/>
      <c r="I795" s="231"/>
      <c r="J795" s="231"/>
      <c r="K795" s="231"/>
      <c r="L795" s="232"/>
      <c r="M795" s="231"/>
      <c r="N795" s="232"/>
    </row>
    <row r="796" spans="2:14" s="228" customFormat="1" x14ac:dyDescent="0.2">
      <c r="B796" s="229"/>
      <c r="C796" s="230"/>
      <c r="D796" s="230"/>
      <c r="E796" s="230"/>
      <c r="F796" s="230"/>
      <c r="G796" s="230"/>
      <c r="H796" s="231"/>
      <c r="I796" s="231"/>
      <c r="J796" s="231"/>
      <c r="K796" s="231"/>
      <c r="L796" s="232"/>
      <c r="M796" s="231"/>
      <c r="N796" s="232"/>
    </row>
    <row r="797" spans="2:14" s="228" customFormat="1" x14ac:dyDescent="0.2">
      <c r="B797" s="229"/>
      <c r="C797" s="230"/>
      <c r="D797" s="230"/>
      <c r="E797" s="230"/>
      <c r="F797" s="230"/>
      <c r="G797" s="230"/>
      <c r="H797" s="231"/>
      <c r="I797" s="231"/>
      <c r="J797" s="231"/>
      <c r="K797" s="231"/>
      <c r="L797" s="232"/>
      <c r="M797" s="231"/>
      <c r="N797" s="232"/>
    </row>
    <row r="798" spans="2:14" s="228" customFormat="1" x14ac:dyDescent="0.2">
      <c r="B798" s="229"/>
      <c r="C798" s="230"/>
      <c r="D798" s="230"/>
      <c r="E798" s="230"/>
      <c r="F798" s="230"/>
      <c r="G798" s="230"/>
      <c r="H798" s="231"/>
      <c r="I798" s="231"/>
      <c r="J798" s="231"/>
      <c r="K798" s="231"/>
      <c r="L798" s="232"/>
      <c r="M798" s="231"/>
      <c r="N798" s="232"/>
    </row>
    <row r="799" spans="2:14" s="228" customFormat="1" x14ac:dyDescent="0.2">
      <c r="B799" s="229"/>
      <c r="C799" s="230"/>
      <c r="D799" s="230"/>
      <c r="E799" s="230"/>
      <c r="F799" s="230"/>
      <c r="G799" s="230"/>
      <c r="H799" s="231"/>
      <c r="I799" s="231"/>
      <c r="J799" s="231"/>
      <c r="K799" s="231"/>
      <c r="L799" s="232"/>
      <c r="M799" s="231"/>
      <c r="N799" s="232"/>
    </row>
    <row r="800" spans="2:14" s="228" customFormat="1" x14ac:dyDescent="0.2">
      <c r="B800" s="229"/>
      <c r="C800" s="230"/>
      <c r="D800" s="230"/>
      <c r="E800" s="230"/>
      <c r="F800" s="230"/>
      <c r="G800" s="230"/>
      <c r="H800" s="231"/>
      <c r="I800" s="231"/>
      <c r="J800" s="231"/>
      <c r="K800" s="231"/>
      <c r="L800" s="232"/>
      <c r="M800" s="231"/>
      <c r="N800" s="232"/>
    </row>
    <row r="801" spans="2:14" s="228" customFormat="1" x14ac:dyDescent="0.2">
      <c r="B801" s="229"/>
      <c r="C801" s="230"/>
      <c r="D801" s="230"/>
      <c r="E801" s="230"/>
      <c r="F801" s="230"/>
      <c r="G801" s="230"/>
      <c r="H801" s="231"/>
      <c r="I801" s="231"/>
      <c r="J801" s="231"/>
      <c r="K801" s="231"/>
      <c r="L801" s="232"/>
      <c r="M801" s="231"/>
      <c r="N801" s="232"/>
    </row>
    <row r="802" spans="2:14" s="228" customFormat="1" x14ac:dyDescent="0.2">
      <c r="B802" s="229"/>
      <c r="C802" s="230"/>
      <c r="D802" s="230"/>
      <c r="E802" s="230"/>
      <c r="F802" s="230"/>
      <c r="G802" s="230"/>
      <c r="H802" s="231"/>
      <c r="I802" s="231"/>
      <c r="J802" s="231"/>
      <c r="K802" s="231"/>
      <c r="L802" s="232"/>
      <c r="M802" s="231"/>
      <c r="N802" s="232"/>
    </row>
    <row r="803" spans="2:14" s="228" customFormat="1" x14ac:dyDescent="0.2">
      <c r="B803" s="229"/>
      <c r="C803" s="230"/>
      <c r="D803" s="230"/>
      <c r="E803" s="230"/>
      <c r="F803" s="230"/>
      <c r="G803" s="230"/>
      <c r="H803" s="231"/>
      <c r="I803" s="231"/>
      <c r="J803" s="231"/>
      <c r="K803" s="231"/>
      <c r="L803" s="232"/>
      <c r="M803" s="231"/>
      <c r="N803" s="232"/>
    </row>
    <row r="804" spans="2:14" s="228" customFormat="1" x14ac:dyDescent="0.2">
      <c r="B804" s="229"/>
      <c r="C804" s="230"/>
      <c r="D804" s="230"/>
      <c r="E804" s="230"/>
      <c r="F804" s="230"/>
      <c r="G804" s="230"/>
      <c r="H804" s="231"/>
      <c r="I804" s="231"/>
      <c r="J804" s="231"/>
      <c r="K804" s="231"/>
      <c r="L804" s="232"/>
      <c r="M804" s="231"/>
      <c r="N804" s="232"/>
    </row>
    <row r="805" spans="2:14" s="228" customFormat="1" x14ac:dyDescent="0.2">
      <c r="B805" s="229"/>
      <c r="C805" s="230"/>
      <c r="D805" s="230"/>
      <c r="E805" s="230"/>
      <c r="F805" s="230"/>
      <c r="G805" s="230"/>
      <c r="H805" s="231"/>
      <c r="I805" s="231"/>
      <c r="J805" s="231"/>
      <c r="K805" s="231"/>
      <c r="L805" s="232"/>
      <c r="M805" s="231"/>
      <c r="N805" s="232"/>
    </row>
    <row r="806" spans="2:14" s="228" customFormat="1" x14ac:dyDescent="0.2">
      <c r="B806" s="229"/>
      <c r="C806" s="230"/>
      <c r="D806" s="230"/>
      <c r="E806" s="230"/>
      <c r="F806" s="230"/>
      <c r="G806" s="230"/>
      <c r="H806" s="231"/>
      <c r="I806" s="231"/>
      <c r="J806" s="231"/>
      <c r="K806" s="231"/>
      <c r="L806" s="232"/>
      <c r="M806" s="231"/>
      <c r="N806" s="232"/>
    </row>
    <row r="807" spans="2:14" s="228" customFormat="1" x14ac:dyDescent="0.2">
      <c r="B807" s="229"/>
      <c r="C807" s="230"/>
      <c r="D807" s="230"/>
      <c r="E807" s="230"/>
      <c r="F807" s="230"/>
      <c r="G807" s="230"/>
      <c r="H807" s="231"/>
      <c r="I807" s="231"/>
      <c r="J807" s="231"/>
      <c r="K807" s="231"/>
      <c r="L807" s="232"/>
      <c r="M807" s="231"/>
      <c r="N807" s="232"/>
    </row>
    <row r="808" spans="2:14" s="228" customFormat="1" x14ac:dyDescent="0.2">
      <c r="B808" s="229"/>
      <c r="C808" s="230"/>
      <c r="D808" s="230"/>
      <c r="E808" s="230"/>
      <c r="F808" s="230"/>
      <c r="G808" s="230"/>
      <c r="H808" s="231"/>
      <c r="I808" s="231"/>
      <c r="J808" s="231"/>
      <c r="K808" s="231"/>
      <c r="L808" s="232"/>
      <c r="M808" s="231"/>
      <c r="N808" s="232"/>
    </row>
    <row r="809" spans="2:14" s="228" customFormat="1" x14ac:dyDescent="0.2">
      <c r="B809" s="229"/>
      <c r="C809" s="230"/>
      <c r="D809" s="230"/>
      <c r="E809" s="230"/>
      <c r="F809" s="230"/>
      <c r="G809" s="230"/>
      <c r="H809" s="231"/>
      <c r="I809" s="231"/>
      <c r="J809" s="231"/>
      <c r="K809" s="231"/>
      <c r="L809" s="232"/>
      <c r="M809" s="231"/>
      <c r="N809" s="232"/>
    </row>
    <row r="810" spans="2:14" s="228" customFormat="1" x14ac:dyDescent="0.2">
      <c r="B810" s="229"/>
      <c r="C810" s="230"/>
      <c r="D810" s="230"/>
      <c r="E810" s="230"/>
      <c r="F810" s="230"/>
      <c r="G810" s="230"/>
      <c r="H810" s="231"/>
      <c r="I810" s="231"/>
      <c r="J810" s="231"/>
      <c r="K810" s="231"/>
      <c r="L810" s="232"/>
      <c r="M810" s="231"/>
      <c r="N810" s="232"/>
    </row>
    <row r="811" spans="2:14" s="228" customFormat="1" x14ac:dyDescent="0.2">
      <c r="B811" s="229"/>
      <c r="C811" s="230"/>
      <c r="D811" s="230"/>
      <c r="E811" s="230"/>
      <c r="F811" s="230"/>
      <c r="G811" s="230"/>
      <c r="H811" s="231"/>
      <c r="I811" s="231"/>
      <c r="J811" s="231"/>
      <c r="K811" s="231"/>
      <c r="L811" s="232"/>
      <c r="M811" s="231"/>
      <c r="N811" s="232"/>
    </row>
    <row r="812" spans="2:14" s="228" customFormat="1" x14ac:dyDescent="0.2">
      <c r="B812" s="229"/>
      <c r="C812" s="230"/>
      <c r="D812" s="230"/>
      <c r="E812" s="230"/>
      <c r="F812" s="230"/>
      <c r="G812" s="230"/>
      <c r="H812" s="231"/>
      <c r="I812" s="231"/>
      <c r="J812" s="231"/>
      <c r="K812" s="231"/>
      <c r="L812" s="232"/>
      <c r="M812" s="231"/>
      <c r="N812" s="232"/>
    </row>
    <row r="813" spans="2:14" s="228" customFormat="1" x14ac:dyDescent="0.2">
      <c r="B813" s="229"/>
      <c r="C813" s="230"/>
      <c r="D813" s="230"/>
      <c r="E813" s="230"/>
      <c r="F813" s="230"/>
      <c r="G813" s="230"/>
      <c r="H813" s="231"/>
      <c r="I813" s="231"/>
      <c r="J813" s="231"/>
      <c r="K813" s="231"/>
      <c r="L813" s="232"/>
      <c r="M813" s="231"/>
      <c r="N813" s="232"/>
    </row>
    <row r="814" spans="2:14" s="228" customFormat="1" x14ac:dyDescent="0.2">
      <c r="B814" s="229"/>
      <c r="C814" s="230"/>
      <c r="D814" s="230"/>
      <c r="E814" s="230"/>
      <c r="F814" s="230"/>
      <c r="G814" s="230"/>
      <c r="H814" s="231"/>
      <c r="I814" s="231"/>
      <c r="J814" s="231"/>
      <c r="K814" s="231"/>
      <c r="L814" s="232"/>
      <c r="M814" s="231"/>
      <c r="N814" s="232"/>
    </row>
    <row r="815" spans="2:14" s="228" customFormat="1" x14ac:dyDescent="0.2">
      <c r="B815" s="229"/>
      <c r="C815" s="230"/>
      <c r="D815" s="230"/>
      <c r="E815" s="230"/>
      <c r="F815" s="230"/>
      <c r="G815" s="230"/>
      <c r="H815" s="231"/>
      <c r="I815" s="231"/>
      <c r="J815" s="231"/>
      <c r="K815" s="231"/>
      <c r="L815" s="232"/>
      <c r="M815" s="231"/>
      <c r="N815" s="232"/>
    </row>
    <row r="816" spans="2:14" s="228" customFormat="1" x14ac:dyDescent="0.2">
      <c r="B816" s="229"/>
      <c r="C816" s="230"/>
      <c r="D816" s="230"/>
      <c r="E816" s="230"/>
      <c r="F816" s="230"/>
      <c r="G816" s="230"/>
      <c r="H816" s="231"/>
      <c r="I816" s="231"/>
      <c r="J816" s="231"/>
      <c r="K816" s="231"/>
      <c r="L816" s="232"/>
      <c r="M816" s="231"/>
      <c r="N816" s="232"/>
    </row>
    <row r="817" spans="2:14" s="228" customFormat="1" x14ac:dyDescent="0.2">
      <c r="B817" s="229"/>
      <c r="C817" s="230"/>
      <c r="D817" s="230"/>
      <c r="E817" s="230"/>
      <c r="F817" s="230"/>
      <c r="G817" s="230"/>
      <c r="H817" s="231"/>
      <c r="I817" s="231"/>
      <c r="J817" s="231"/>
      <c r="K817" s="231"/>
      <c r="L817" s="232"/>
      <c r="M817" s="231"/>
      <c r="N817" s="232"/>
    </row>
    <row r="818" spans="2:14" s="228" customFormat="1" x14ac:dyDescent="0.2">
      <c r="B818" s="229"/>
      <c r="C818" s="230"/>
      <c r="D818" s="230"/>
      <c r="E818" s="230"/>
      <c r="F818" s="230"/>
      <c r="G818" s="230"/>
      <c r="H818" s="231"/>
      <c r="I818" s="231"/>
      <c r="J818" s="231"/>
      <c r="K818" s="231"/>
      <c r="L818" s="232"/>
      <c r="M818" s="231"/>
      <c r="N818" s="232"/>
    </row>
    <row r="819" spans="2:14" s="228" customFormat="1" x14ac:dyDescent="0.2">
      <c r="B819" s="229"/>
      <c r="C819" s="230"/>
      <c r="D819" s="230"/>
      <c r="E819" s="230"/>
      <c r="F819" s="230"/>
      <c r="G819" s="230"/>
      <c r="H819" s="231"/>
      <c r="I819" s="231"/>
      <c r="J819" s="231"/>
      <c r="K819" s="231"/>
      <c r="L819" s="232"/>
      <c r="M819" s="231"/>
      <c r="N819" s="232"/>
    </row>
    <row r="820" spans="2:14" s="228" customFormat="1" x14ac:dyDescent="0.2">
      <c r="B820" s="229"/>
      <c r="C820" s="230"/>
      <c r="D820" s="230"/>
      <c r="E820" s="230"/>
      <c r="F820" s="230"/>
      <c r="G820" s="230"/>
      <c r="H820" s="231"/>
      <c r="I820" s="231"/>
      <c r="J820" s="231"/>
      <c r="K820" s="231"/>
      <c r="L820" s="232"/>
      <c r="M820" s="231"/>
      <c r="N820" s="232"/>
    </row>
    <row r="821" spans="2:14" s="228" customFormat="1" x14ac:dyDescent="0.2">
      <c r="B821" s="229"/>
      <c r="C821" s="230"/>
      <c r="D821" s="230"/>
      <c r="E821" s="230"/>
      <c r="F821" s="230"/>
      <c r="G821" s="230"/>
      <c r="H821" s="231"/>
      <c r="I821" s="231"/>
      <c r="J821" s="231"/>
      <c r="K821" s="231"/>
      <c r="L821" s="232"/>
      <c r="M821" s="231"/>
      <c r="N821" s="232"/>
    </row>
    <row r="822" spans="2:14" s="228" customFormat="1" x14ac:dyDescent="0.2">
      <c r="B822" s="229"/>
      <c r="C822" s="230"/>
      <c r="D822" s="230"/>
      <c r="E822" s="230"/>
      <c r="F822" s="230"/>
      <c r="G822" s="230"/>
      <c r="H822" s="231"/>
      <c r="I822" s="231"/>
      <c r="J822" s="231"/>
      <c r="K822" s="231"/>
      <c r="L822" s="232"/>
      <c r="M822" s="231"/>
      <c r="N822" s="232"/>
    </row>
    <row r="823" spans="2:14" s="228" customFormat="1" x14ac:dyDescent="0.2">
      <c r="B823" s="229"/>
      <c r="C823" s="230"/>
      <c r="D823" s="230"/>
      <c r="E823" s="230"/>
      <c r="F823" s="230"/>
      <c r="G823" s="230"/>
      <c r="H823" s="231"/>
      <c r="I823" s="231"/>
      <c r="J823" s="231"/>
      <c r="K823" s="231"/>
      <c r="L823" s="232"/>
      <c r="M823" s="231"/>
      <c r="N823" s="232"/>
    </row>
    <row r="824" spans="2:14" s="228" customFormat="1" x14ac:dyDescent="0.2">
      <c r="B824" s="229"/>
      <c r="C824" s="230"/>
      <c r="D824" s="230"/>
      <c r="E824" s="230"/>
      <c r="F824" s="230"/>
      <c r="G824" s="230"/>
      <c r="H824" s="231"/>
      <c r="I824" s="231"/>
      <c r="J824" s="231"/>
      <c r="K824" s="231"/>
      <c r="L824" s="232"/>
      <c r="M824" s="231"/>
      <c r="N824" s="232"/>
    </row>
    <row r="825" spans="2:14" s="228" customFormat="1" x14ac:dyDescent="0.2">
      <c r="B825" s="229"/>
      <c r="C825" s="230"/>
      <c r="D825" s="230"/>
      <c r="E825" s="230"/>
      <c r="F825" s="230"/>
      <c r="G825" s="230"/>
      <c r="H825" s="231"/>
      <c r="I825" s="231"/>
      <c r="J825" s="231"/>
      <c r="K825" s="231"/>
      <c r="L825" s="232"/>
      <c r="M825" s="231"/>
      <c r="N825" s="232"/>
    </row>
    <row r="826" spans="2:14" s="228" customFormat="1" x14ac:dyDescent="0.2">
      <c r="B826" s="229"/>
      <c r="C826" s="230"/>
      <c r="D826" s="230"/>
      <c r="E826" s="230"/>
      <c r="F826" s="230"/>
      <c r="G826" s="230"/>
      <c r="H826" s="231"/>
      <c r="I826" s="231"/>
      <c r="J826" s="231"/>
      <c r="K826" s="231"/>
      <c r="L826" s="232"/>
      <c r="M826" s="231"/>
      <c r="N826" s="232"/>
    </row>
    <row r="827" spans="2:14" s="228" customFormat="1" x14ac:dyDescent="0.2">
      <c r="B827" s="229"/>
      <c r="C827" s="230"/>
      <c r="D827" s="230"/>
      <c r="E827" s="230"/>
      <c r="F827" s="230"/>
      <c r="G827" s="230"/>
      <c r="H827" s="231"/>
      <c r="I827" s="231"/>
      <c r="J827" s="231"/>
      <c r="K827" s="231"/>
      <c r="L827" s="232"/>
      <c r="M827" s="231"/>
      <c r="N827" s="232"/>
    </row>
    <row r="828" spans="2:14" s="228" customFormat="1" x14ac:dyDescent="0.2">
      <c r="B828" s="229"/>
      <c r="C828" s="230"/>
      <c r="D828" s="230"/>
      <c r="E828" s="230"/>
      <c r="F828" s="230"/>
      <c r="G828" s="230"/>
      <c r="H828" s="231"/>
      <c r="I828" s="231"/>
      <c r="J828" s="231"/>
      <c r="K828" s="231"/>
      <c r="L828" s="232"/>
      <c r="M828" s="231"/>
      <c r="N828" s="232"/>
    </row>
    <row r="829" spans="2:14" s="228" customFormat="1" x14ac:dyDescent="0.2">
      <c r="B829" s="229"/>
      <c r="C829" s="230"/>
      <c r="D829" s="230"/>
      <c r="E829" s="230"/>
      <c r="F829" s="230"/>
      <c r="G829" s="230"/>
      <c r="H829" s="231"/>
      <c r="I829" s="231"/>
      <c r="J829" s="231"/>
      <c r="K829" s="231"/>
      <c r="L829" s="232"/>
      <c r="M829" s="231"/>
      <c r="N829" s="232"/>
    </row>
    <row r="830" spans="2:14" s="228" customFormat="1" x14ac:dyDescent="0.2">
      <c r="B830" s="229"/>
      <c r="C830" s="230"/>
      <c r="D830" s="230"/>
      <c r="E830" s="230"/>
      <c r="F830" s="230"/>
      <c r="G830" s="230"/>
      <c r="H830" s="231"/>
      <c r="I830" s="231"/>
      <c r="J830" s="231"/>
      <c r="K830" s="231"/>
      <c r="L830" s="232"/>
      <c r="M830" s="231"/>
      <c r="N830" s="232"/>
    </row>
    <row r="831" spans="2:14" s="228" customFormat="1" x14ac:dyDescent="0.2">
      <c r="B831" s="229"/>
      <c r="C831" s="230"/>
      <c r="D831" s="230"/>
      <c r="E831" s="230"/>
      <c r="F831" s="230"/>
      <c r="G831" s="230"/>
      <c r="H831" s="231"/>
      <c r="I831" s="231"/>
      <c r="J831" s="231"/>
      <c r="K831" s="231"/>
      <c r="L831" s="232"/>
      <c r="M831" s="231"/>
      <c r="N831" s="232"/>
    </row>
    <row r="832" spans="2:14" s="228" customFormat="1" x14ac:dyDescent="0.2">
      <c r="B832" s="229"/>
      <c r="C832" s="230"/>
      <c r="D832" s="230"/>
      <c r="E832" s="230"/>
      <c r="F832" s="230"/>
      <c r="G832" s="230"/>
      <c r="H832" s="231"/>
      <c r="I832" s="231"/>
      <c r="J832" s="231"/>
      <c r="K832" s="231"/>
      <c r="L832" s="232"/>
      <c r="M832" s="231"/>
      <c r="N832" s="232"/>
    </row>
    <row r="833" spans="2:14" s="228" customFormat="1" x14ac:dyDescent="0.2">
      <c r="B833" s="229"/>
      <c r="C833" s="230"/>
      <c r="D833" s="230"/>
      <c r="E833" s="230"/>
      <c r="F833" s="230"/>
      <c r="G833" s="230"/>
      <c r="H833" s="231"/>
      <c r="I833" s="231"/>
      <c r="J833" s="231"/>
      <c r="K833" s="231"/>
      <c r="L833" s="232"/>
      <c r="M833" s="231"/>
      <c r="N833" s="232"/>
    </row>
    <row r="834" spans="2:14" s="228" customFormat="1" x14ac:dyDescent="0.2">
      <c r="B834" s="229"/>
      <c r="C834" s="230"/>
      <c r="D834" s="230"/>
      <c r="E834" s="230"/>
      <c r="F834" s="230"/>
      <c r="G834" s="230"/>
      <c r="H834" s="231"/>
      <c r="I834" s="231"/>
      <c r="J834" s="231"/>
      <c r="K834" s="231"/>
      <c r="L834" s="232"/>
      <c r="M834" s="231"/>
      <c r="N834" s="232"/>
    </row>
    <row r="835" spans="2:14" s="228" customFormat="1" x14ac:dyDescent="0.2">
      <c r="B835" s="229"/>
      <c r="C835" s="230"/>
      <c r="D835" s="230"/>
      <c r="E835" s="230"/>
      <c r="F835" s="230"/>
      <c r="G835" s="230"/>
      <c r="H835" s="231"/>
      <c r="I835" s="231"/>
      <c r="J835" s="231"/>
      <c r="K835" s="231"/>
      <c r="L835" s="232"/>
      <c r="M835" s="231"/>
      <c r="N835" s="232"/>
    </row>
    <row r="836" spans="2:14" s="228" customFormat="1" x14ac:dyDescent="0.2">
      <c r="B836" s="229"/>
      <c r="C836" s="230"/>
      <c r="D836" s="230"/>
      <c r="E836" s="230"/>
      <c r="F836" s="230"/>
      <c r="G836" s="230"/>
      <c r="H836" s="231"/>
      <c r="I836" s="231"/>
      <c r="J836" s="231"/>
      <c r="K836" s="231"/>
      <c r="L836" s="232"/>
      <c r="M836" s="231"/>
      <c r="N836" s="232"/>
    </row>
    <row r="837" spans="2:14" s="228" customFormat="1" x14ac:dyDescent="0.2">
      <c r="B837" s="229"/>
      <c r="C837" s="230"/>
      <c r="D837" s="230"/>
      <c r="E837" s="230"/>
      <c r="F837" s="230"/>
      <c r="G837" s="230"/>
      <c r="H837" s="231"/>
      <c r="I837" s="231"/>
      <c r="J837" s="231"/>
      <c r="K837" s="231"/>
      <c r="L837" s="232"/>
      <c r="M837" s="231"/>
      <c r="N837" s="232"/>
    </row>
    <row r="838" spans="2:14" s="228" customFormat="1" x14ac:dyDescent="0.2">
      <c r="B838" s="229"/>
      <c r="C838" s="230"/>
      <c r="D838" s="230"/>
      <c r="E838" s="230"/>
      <c r="F838" s="230"/>
      <c r="G838" s="230"/>
      <c r="H838" s="231"/>
      <c r="I838" s="231"/>
      <c r="J838" s="231"/>
      <c r="K838" s="231"/>
      <c r="L838" s="232"/>
      <c r="M838" s="231"/>
      <c r="N838" s="232"/>
    </row>
    <row r="839" spans="2:14" s="228" customFormat="1" x14ac:dyDescent="0.2">
      <c r="B839" s="229"/>
      <c r="C839" s="230"/>
      <c r="D839" s="230"/>
      <c r="E839" s="230"/>
      <c r="F839" s="230"/>
      <c r="G839" s="230"/>
      <c r="H839" s="231"/>
      <c r="I839" s="231"/>
      <c r="J839" s="231"/>
      <c r="K839" s="231"/>
      <c r="L839" s="232"/>
      <c r="M839" s="231"/>
      <c r="N839" s="232"/>
    </row>
    <row r="840" spans="2:14" s="228" customFormat="1" x14ac:dyDescent="0.2">
      <c r="B840" s="229"/>
      <c r="C840" s="230"/>
      <c r="D840" s="230"/>
      <c r="E840" s="230"/>
      <c r="F840" s="230"/>
      <c r="G840" s="230"/>
      <c r="H840" s="231"/>
      <c r="I840" s="231"/>
      <c r="J840" s="231"/>
      <c r="K840" s="231"/>
      <c r="L840" s="232"/>
      <c r="M840" s="231"/>
      <c r="N840" s="232"/>
    </row>
    <row r="841" spans="2:14" s="228" customFormat="1" x14ac:dyDescent="0.2">
      <c r="B841" s="229"/>
      <c r="C841" s="230"/>
      <c r="D841" s="230"/>
      <c r="E841" s="230"/>
      <c r="F841" s="230"/>
      <c r="G841" s="230"/>
      <c r="H841" s="231"/>
      <c r="I841" s="231"/>
      <c r="J841" s="231"/>
      <c r="K841" s="231"/>
      <c r="L841" s="232"/>
      <c r="M841" s="231"/>
      <c r="N841" s="232"/>
    </row>
    <row r="842" spans="2:14" s="228" customFormat="1" x14ac:dyDescent="0.2">
      <c r="B842" s="229"/>
      <c r="C842" s="230"/>
      <c r="D842" s="230"/>
      <c r="E842" s="230"/>
      <c r="F842" s="230"/>
      <c r="G842" s="230"/>
      <c r="H842" s="231"/>
      <c r="I842" s="231"/>
      <c r="J842" s="231"/>
      <c r="K842" s="231"/>
      <c r="L842" s="232"/>
      <c r="M842" s="231"/>
      <c r="N842" s="232"/>
    </row>
    <row r="843" spans="2:14" s="228" customFormat="1" x14ac:dyDescent="0.2">
      <c r="B843" s="229"/>
      <c r="C843" s="230"/>
      <c r="D843" s="230"/>
      <c r="E843" s="230"/>
      <c r="F843" s="230"/>
      <c r="G843" s="230"/>
      <c r="H843" s="231"/>
      <c r="I843" s="231"/>
      <c r="J843" s="231"/>
      <c r="K843" s="231"/>
      <c r="L843" s="232"/>
      <c r="M843" s="231"/>
      <c r="N843" s="232"/>
    </row>
    <row r="844" spans="2:14" s="228" customFormat="1" x14ac:dyDescent="0.2">
      <c r="B844" s="229"/>
      <c r="C844" s="230"/>
      <c r="D844" s="230"/>
      <c r="E844" s="230"/>
      <c r="F844" s="230"/>
      <c r="G844" s="230"/>
      <c r="H844" s="231"/>
      <c r="I844" s="231"/>
      <c r="J844" s="231"/>
      <c r="K844" s="231"/>
      <c r="L844" s="232"/>
      <c r="M844" s="231"/>
      <c r="N844" s="232"/>
    </row>
    <row r="845" spans="2:14" s="228" customFormat="1" x14ac:dyDescent="0.2">
      <c r="B845" s="229"/>
      <c r="C845" s="230"/>
      <c r="D845" s="230"/>
      <c r="E845" s="230"/>
      <c r="F845" s="230"/>
      <c r="G845" s="230"/>
      <c r="H845" s="231"/>
      <c r="I845" s="231"/>
      <c r="J845" s="231"/>
      <c r="K845" s="231"/>
      <c r="L845" s="232"/>
      <c r="M845" s="231"/>
      <c r="N845" s="232"/>
    </row>
    <row r="846" spans="2:14" s="228" customFormat="1" x14ac:dyDescent="0.2">
      <c r="B846" s="229"/>
      <c r="C846" s="230"/>
      <c r="D846" s="230"/>
      <c r="E846" s="230"/>
      <c r="F846" s="230"/>
      <c r="G846" s="230"/>
      <c r="H846" s="231"/>
      <c r="I846" s="231"/>
      <c r="J846" s="231"/>
      <c r="K846" s="231"/>
      <c r="L846" s="232"/>
      <c r="M846" s="231"/>
      <c r="N846" s="232"/>
    </row>
    <row r="847" spans="2:14" s="228" customFormat="1" x14ac:dyDescent="0.2">
      <c r="B847" s="229"/>
      <c r="C847" s="230"/>
      <c r="D847" s="230"/>
      <c r="E847" s="230"/>
      <c r="F847" s="230"/>
      <c r="G847" s="230"/>
      <c r="H847" s="231"/>
      <c r="I847" s="231"/>
      <c r="J847" s="231"/>
      <c r="K847" s="231"/>
      <c r="L847" s="232"/>
      <c r="M847" s="231"/>
      <c r="N847" s="232"/>
    </row>
    <row r="848" spans="2:14" s="228" customFormat="1" x14ac:dyDescent="0.2">
      <c r="B848" s="229"/>
      <c r="C848" s="230"/>
      <c r="D848" s="230"/>
      <c r="E848" s="230"/>
      <c r="F848" s="230"/>
      <c r="G848" s="230"/>
      <c r="H848" s="231"/>
      <c r="I848" s="231"/>
      <c r="J848" s="231"/>
      <c r="K848" s="231"/>
      <c r="L848" s="232"/>
      <c r="M848" s="231"/>
      <c r="N848" s="232"/>
    </row>
    <row r="849" spans="2:14" s="228" customFormat="1" x14ac:dyDescent="0.2">
      <c r="B849" s="229"/>
      <c r="C849" s="230"/>
      <c r="D849" s="230"/>
      <c r="E849" s="230"/>
      <c r="F849" s="230"/>
      <c r="G849" s="230"/>
      <c r="H849" s="231"/>
      <c r="I849" s="231"/>
      <c r="J849" s="231"/>
      <c r="K849" s="231"/>
      <c r="L849" s="232"/>
      <c r="M849" s="231"/>
      <c r="N849" s="232"/>
    </row>
    <row r="850" spans="2:14" s="228" customFormat="1" x14ac:dyDescent="0.2">
      <c r="B850" s="229"/>
      <c r="C850" s="230"/>
      <c r="D850" s="230"/>
      <c r="E850" s="230"/>
      <c r="F850" s="230"/>
      <c r="G850" s="230"/>
      <c r="H850" s="231"/>
      <c r="I850" s="231"/>
      <c r="J850" s="231"/>
      <c r="K850" s="231"/>
      <c r="L850" s="232"/>
      <c r="M850" s="231"/>
      <c r="N850" s="232"/>
    </row>
    <row r="851" spans="2:14" s="228" customFormat="1" x14ac:dyDescent="0.2">
      <c r="B851" s="229"/>
      <c r="C851" s="230"/>
      <c r="D851" s="230"/>
      <c r="E851" s="230"/>
      <c r="F851" s="230"/>
      <c r="G851" s="230"/>
      <c r="H851" s="231"/>
      <c r="I851" s="231"/>
      <c r="J851" s="231"/>
      <c r="K851" s="231"/>
      <c r="L851" s="232"/>
      <c r="M851" s="231"/>
      <c r="N851" s="232"/>
    </row>
    <row r="852" spans="2:14" s="228" customFormat="1" x14ac:dyDescent="0.2">
      <c r="B852" s="229"/>
      <c r="C852" s="230"/>
      <c r="D852" s="230"/>
      <c r="E852" s="230"/>
      <c r="F852" s="230"/>
      <c r="G852" s="230"/>
      <c r="H852" s="231"/>
      <c r="I852" s="231"/>
      <c r="J852" s="231"/>
      <c r="K852" s="231"/>
      <c r="L852" s="232"/>
      <c r="M852" s="231"/>
      <c r="N852" s="232"/>
    </row>
    <row r="853" spans="2:14" s="228" customFormat="1" x14ac:dyDescent="0.2">
      <c r="B853" s="229"/>
      <c r="C853" s="230"/>
      <c r="D853" s="230"/>
      <c r="E853" s="230"/>
      <c r="F853" s="230"/>
      <c r="G853" s="230"/>
      <c r="H853" s="231"/>
      <c r="I853" s="231"/>
      <c r="J853" s="231"/>
      <c r="K853" s="231"/>
      <c r="L853" s="232"/>
      <c r="M853" s="231"/>
      <c r="N853" s="232"/>
    </row>
    <row r="854" spans="2:14" s="228" customFormat="1" x14ac:dyDescent="0.2">
      <c r="B854" s="229"/>
      <c r="C854" s="230"/>
      <c r="D854" s="230"/>
      <c r="E854" s="230"/>
      <c r="F854" s="230"/>
      <c r="G854" s="230"/>
      <c r="H854" s="231"/>
      <c r="I854" s="231"/>
      <c r="J854" s="231"/>
      <c r="K854" s="231"/>
      <c r="L854" s="232"/>
      <c r="M854" s="231"/>
      <c r="N854" s="232"/>
    </row>
    <row r="855" spans="2:14" s="228" customFormat="1" x14ac:dyDescent="0.2">
      <c r="B855" s="229"/>
      <c r="C855" s="230"/>
      <c r="D855" s="230"/>
      <c r="E855" s="230"/>
      <c r="F855" s="230"/>
      <c r="G855" s="230"/>
      <c r="H855" s="231"/>
      <c r="I855" s="231"/>
      <c r="J855" s="231"/>
      <c r="K855" s="231"/>
      <c r="L855" s="232"/>
      <c r="M855" s="231"/>
      <c r="N855" s="232"/>
    </row>
    <row r="856" spans="2:14" s="228" customFormat="1" x14ac:dyDescent="0.2">
      <c r="B856" s="229"/>
      <c r="C856" s="230"/>
      <c r="D856" s="230"/>
      <c r="E856" s="230"/>
      <c r="F856" s="230"/>
      <c r="G856" s="230"/>
      <c r="H856" s="231"/>
      <c r="I856" s="231"/>
      <c r="J856" s="231"/>
      <c r="K856" s="231"/>
      <c r="L856" s="232"/>
      <c r="M856" s="231"/>
      <c r="N856" s="232"/>
    </row>
    <row r="857" spans="2:14" s="228" customFormat="1" x14ac:dyDescent="0.2">
      <c r="B857" s="229"/>
      <c r="C857" s="230"/>
      <c r="D857" s="230"/>
      <c r="E857" s="230"/>
      <c r="F857" s="230"/>
      <c r="G857" s="230"/>
      <c r="H857" s="231"/>
      <c r="I857" s="231"/>
      <c r="J857" s="231"/>
      <c r="K857" s="231"/>
      <c r="L857" s="232"/>
      <c r="M857" s="231"/>
      <c r="N857" s="232"/>
    </row>
    <row r="858" spans="2:14" s="228" customFormat="1" x14ac:dyDescent="0.2">
      <c r="B858" s="229"/>
      <c r="C858" s="230"/>
      <c r="D858" s="230"/>
      <c r="E858" s="230"/>
      <c r="F858" s="230"/>
      <c r="G858" s="230"/>
      <c r="H858" s="231"/>
      <c r="I858" s="231"/>
      <c r="J858" s="231"/>
      <c r="K858" s="231"/>
      <c r="L858" s="232"/>
      <c r="M858" s="231"/>
      <c r="N858" s="232"/>
    </row>
    <row r="859" spans="2:14" s="228" customFormat="1" x14ac:dyDescent="0.2">
      <c r="B859" s="229"/>
      <c r="C859" s="230"/>
      <c r="D859" s="230"/>
      <c r="E859" s="230"/>
      <c r="F859" s="230"/>
      <c r="G859" s="230"/>
      <c r="H859" s="231"/>
      <c r="I859" s="231"/>
      <c r="J859" s="231"/>
      <c r="K859" s="231"/>
      <c r="L859" s="232"/>
      <c r="M859" s="231"/>
      <c r="N859" s="232"/>
    </row>
    <row r="860" spans="2:14" s="228" customFormat="1" x14ac:dyDescent="0.2">
      <c r="B860" s="229"/>
      <c r="C860" s="230"/>
      <c r="D860" s="230"/>
      <c r="E860" s="230"/>
      <c r="F860" s="230"/>
      <c r="G860" s="230"/>
      <c r="H860" s="231"/>
      <c r="I860" s="231"/>
      <c r="J860" s="231"/>
      <c r="K860" s="231"/>
      <c r="L860" s="232"/>
      <c r="M860" s="231"/>
      <c r="N860" s="232"/>
    </row>
    <row r="861" spans="2:14" s="228" customFormat="1" x14ac:dyDescent="0.2">
      <c r="B861" s="229"/>
      <c r="C861" s="230"/>
      <c r="D861" s="230"/>
      <c r="E861" s="230"/>
      <c r="F861" s="230"/>
      <c r="G861" s="230"/>
      <c r="H861" s="231"/>
      <c r="I861" s="231"/>
      <c r="J861" s="231"/>
      <c r="K861" s="231"/>
      <c r="L861" s="232"/>
      <c r="M861" s="231"/>
      <c r="N861" s="232"/>
    </row>
    <row r="862" spans="2:14" s="228" customFormat="1" x14ac:dyDescent="0.2">
      <c r="B862" s="229"/>
      <c r="C862" s="230"/>
      <c r="D862" s="230"/>
      <c r="E862" s="230"/>
      <c r="F862" s="230"/>
      <c r="G862" s="230"/>
      <c r="H862" s="231"/>
      <c r="I862" s="231"/>
      <c r="J862" s="231"/>
      <c r="K862" s="231"/>
      <c r="L862" s="232"/>
      <c r="M862" s="231"/>
      <c r="N862" s="232"/>
    </row>
    <row r="863" spans="2:14" s="228" customFormat="1" x14ac:dyDescent="0.2">
      <c r="B863" s="229"/>
      <c r="C863" s="230"/>
      <c r="D863" s="230"/>
      <c r="E863" s="230"/>
      <c r="F863" s="230"/>
      <c r="G863" s="230"/>
      <c r="H863" s="231"/>
      <c r="I863" s="231"/>
      <c r="J863" s="231"/>
      <c r="K863" s="231"/>
      <c r="L863" s="232"/>
      <c r="M863" s="231"/>
      <c r="N863" s="232"/>
    </row>
    <row r="864" spans="2:14" s="228" customFormat="1" x14ac:dyDescent="0.2">
      <c r="B864" s="229"/>
      <c r="C864" s="230"/>
      <c r="D864" s="230"/>
      <c r="E864" s="230"/>
      <c r="F864" s="230"/>
      <c r="G864" s="230"/>
      <c r="H864" s="231"/>
      <c r="I864" s="231"/>
      <c r="J864" s="231"/>
      <c r="K864" s="231"/>
      <c r="L864" s="232"/>
      <c r="M864" s="231"/>
      <c r="N864" s="232"/>
    </row>
    <row r="865" spans="2:14" s="228" customFormat="1" x14ac:dyDescent="0.2">
      <c r="B865" s="229"/>
      <c r="C865" s="230"/>
      <c r="D865" s="230"/>
      <c r="E865" s="230"/>
      <c r="F865" s="230"/>
      <c r="G865" s="230"/>
      <c r="H865" s="231"/>
      <c r="I865" s="231"/>
      <c r="J865" s="231"/>
      <c r="K865" s="231"/>
      <c r="L865" s="232"/>
      <c r="M865" s="231"/>
      <c r="N865" s="232"/>
    </row>
    <row r="866" spans="2:14" s="228" customFormat="1" x14ac:dyDescent="0.2">
      <c r="B866" s="229"/>
      <c r="C866" s="230"/>
      <c r="D866" s="230"/>
      <c r="E866" s="230"/>
      <c r="F866" s="230"/>
      <c r="G866" s="230"/>
      <c r="H866" s="231"/>
      <c r="I866" s="231"/>
      <c r="J866" s="231"/>
      <c r="K866" s="231"/>
      <c r="L866" s="232"/>
      <c r="M866" s="231"/>
      <c r="N866" s="232"/>
    </row>
    <row r="867" spans="2:14" s="228" customFormat="1" x14ac:dyDescent="0.2">
      <c r="B867" s="229"/>
      <c r="C867" s="230"/>
      <c r="D867" s="230"/>
      <c r="E867" s="230"/>
      <c r="F867" s="230"/>
      <c r="G867" s="230"/>
      <c r="H867" s="231"/>
      <c r="I867" s="231"/>
      <c r="J867" s="231"/>
      <c r="K867" s="231"/>
      <c r="L867" s="232"/>
      <c r="M867" s="231"/>
      <c r="N867" s="232"/>
    </row>
    <row r="868" spans="2:14" s="228" customFormat="1" x14ac:dyDescent="0.2">
      <c r="B868" s="229"/>
      <c r="C868" s="230"/>
      <c r="D868" s="230"/>
      <c r="E868" s="230"/>
      <c r="F868" s="230"/>
      <c r="G868" s="230"/>
      <c r="H868" s="231"/>
      <c r="I868" s="231"/>
      <c r="J868" s="231"/>
      <c r="K868" s="231"/>
      <c r="L868" s="232"/>
      <c r="M868" s="231"/>
      <c r="N868" s="232"/>
    </row>
    <row r="869" spans="2:14" s="228" customFormat="1" x14ac:dyDescent="0.2">
      <c r="B869" s="229"/>
      <c r="C869" s="230"/>
      <c r="D869" s="230"/>
      <c r="E869" s="230"/>
      <c r="F869" s="230"/>
      <c r="G869" s="230"/>
      <c r="H869" s="231"/>
      <c r="I869" s="231"/>
      <c r="J869" s="231"/>
      <c r="K869" s="231"/>
      <c r="L869" s="232"/>
      <c r="M869" s="231"/>
      <c r="N869" s="232"/>
    </row>
    <row r="870" spans="2:14" s="228" customFormat="1" x14ac:dyDescent="0.2">
      <c r="B870" s="229"/>
      <c r="C870" s="230"/>
      <c r="D870" s="230"/>
      <c r="E870" s="230"/>
      <c r="F870" s="230"/>
      <c r="G870" s="230"/>
      <c r="H870" s="231"/>
      <c r="I870" s="231"/>
      <c r="J870" s="231"/>
      <c r="K870" s="231"/>
      <c r="L870" s="232"/>
      <c r="M870" s="231"/>
      <c r="N870" s="232"/>
    </row>
    <row r="871" spans="2:14" s="228" customFormat="1" x14ac:dyDescent="0.2">
      <c r="B871" s="229"/>
      <c r="C871" s="230"/>
      <c r="D871" s="230"/>
      <c r="E871" s="230"/>
      <c r="F871" s="230"/>
      <c r="G871" s="230"/>
      <c r="H871" s="231"/>
      <c r="I871" s="231"/>
      <c r="J871" s="231"/>
      <c r="K871" s="231"/>
      <c r="L871" s="232"/>
      <c r="M871" s="231"/>
      <c r="N871" s="232"/>
    </row>
    <row r="872" spans="2:14" s="228" customFormat="1" x14ac:dyDescent="0.2">
      <c r="B872" s="229"/>
      <c r="C872" s="230"/>
      <c r="D872" s="230"/>
      <c r="E872" s="230"/>
      <c r="F872" s="230"/>
      <c r="G872" s="230"/>
      <c r="H872" s="231"/>
      <c r="I872" s="231"/>
      <c r="J872" s="231"/>
      <c r="K872" s="231"/>
      <c r="L872" s="232"/>
      <c r="M872" s="231"/>
      <c r="N872" s="232"/>
    </row>
    <row r="873" spans="2:14" s="228" customFormat="1" x14ac:dyDescent="0.2">
      <c r="B873" s="229"/>
      <c r="C873" s="230"/>
      <c r="D873" s="230"/>
      <c r="E873" s="230"/>
      <c r="F873" s="230"/>
      <c r="G873" s="230"/>
      <c r="H873" s="231"/>
      <c r="I873" s="231"/>
      <c r="J873" s="231"/>
      <c r="K873" s="231"/>
      <c r="L873" s="232"/>
      <c r="M873" s="231"/>
      <c r="N873" s="232"/>
    </row>
    <row r="874" spans="2:14" s="228" customFormat="1" x14ac:dyDescent="0.2">
      <c r="B874" s="229"/>
      <c r="C874" s="230"/>
      <c r="D874" s="230"/>
      <c r="E874" s="230"/>
      <c r="F874" s="230"/>
      <c r="G874" s="230"/>
      <c r="H874" s="231"/>
      <c r="I874" s="231"/>
      <c r="J874" s="231"/>
      <c r="K874" s="231"/>
      <c r="L874" s="232"/>
      <c r="M874" s="231"/>
      <c r="N874" s="232"/>
    </row>
    <row r="875" spans="2:14" s="228" customFormat="1" x14ac:dyDescent="0.2">
      <c r="B875" s="229"/>
      <c r="C875" s="230"/>
      <c r="D875" s="230"/>
      <c r="E875" s="230"/>
      <c r="F875" s="230"/>
      <c r="G875" s="230"/>
      <c r="H875" s="231"/>
      <c r="I875" s="231"/>
      <c r="J875" s="231"/>
      <c r="K875" s="231"/>
      <c r="L875" s="232"/>
      <c r="M875" s="231"/>
      <c r="N875" s="232"/>
    </row>
    <row r="876" spans="2:14" s="228" customFormat="1" x14ac:dyDescent="0.2">
      <c r="B876" s="229"/>
      <c r="C876" s="230"/>
      <c r="D876" s="230"/>
      <c r="E876" s="230"/>
      <c r="F876" s="230"/>
      <c r="G876" s="230"/>
      <c r="H876" s="231"/>
      <c r="I876" s="231"/>
      <c r="J876" s="231"/>
      <c r="K876" s="231"/>
      <c r="L876" s="232"/>
      <c r="M876" s="231"/>
      <c r="N876" s="232"/>
    </row>
    <row r="877" spans="2:14" s="228" customFormat="1" x14ac:dyDescent="0.2">
      <c r="B877" s="229"/>
      <c r="C877" s="230"/>
      <c r="D877" s="230"/>
      <c r="E877" s="230"/>
      <c r="F877" s="230"/>
      <c r="G877" s="230"/>
      <c r="H877" s="231"/>
      <c r="I877" s="231"/>
      <c r="J877" s="231"/>
      <c r="K877" s="231"/>
      <c r="L877" s="232"/>
      <c r="M877" s="231"/>
      <c r="N877" s="232"/>
    </row>
    <row r="878" spans="2:14" s="228" customFormat="1" x14ac:dyDescent="0.2">
      <c r="B878" s="229"/>
      <c r="C878" s="230"/>
      <c r="D878" s="230"/>
      <c r="E878" s="230"/>
      <c r="F878" s="230"/>
      <c r="G878" s="230"/>
      <c r="H878" s="231"/>
      <c r="I878" s="231"/>
      <c r="J878" s="231"/>
      <c r="K878" s="231"/>
      <c r="L878" s="232"/>
      <c r="M878" s="231"/>
      <c r="N878" s="232"/>
    </row>
    <row r="879" spans="2:14" s="228" customFormat="1" x14ac:dyDescent="0.2">
      <c r="B879" s="229"/>
      <c r="C879" s="230"/>
      <c r="D879" s="230"/>
      <c r="E879" s="230"/>
      <c r="F879" s="230"/>
      <c r="G879" s="230"/>
      <c r="H879" s="231"/>
      <c r="I879" s="231"/>
      <c r="J879" s="231"/>
      <c r="K879" s="231"/>
      <c r="L879" s="232"/>
      <c r="M879" s="231"/>
      <c r="N879" s="232"/>
    </row>
    <row r="880" spans="2:14" s="228" customFormat="1" x14ac:dyDescent="0.2">
      <c r="B880" s="229"/>
      <c r="C880" s="230"/>
      <c r="D880" s="230"/>
      <c r="E880" s="230"/>
      <c r="F880" s="230"/>
      <c r="G880" s="230"/>
      <c r="H880" s="231"/>
      <c r="I880" s="231"/>
      <c r="J880" s="231"/>
      <c r="K880" s="231"/>
      <c r="L880" s="232"/>
      <c r="M880" s="231"/>
      <c r="N880" s="232"/>
    </row>
    <row r="881" spans="2:14" s="228" customFormat="1" x14ac:dyDescent="0.2">
      <c r="B881" s="229"/>
      <c r="C881" s="230"/>
      <c r="D881" s="230"/>
      <c r="E881" s="230"/>
      <c r="F881" s="230"/>
      <c r="G881" s="230"/>
      <c r="H881" s="231"/>
      <c r="I881" s="231"/>
      <c r="J881" s="231"/>
      <c r="K881" s="231"/>
      <c r="L881" s="232"/>
      <c r="M881" s="231"/>
      <c r="N881" s="232"/>
    </row>
    <row r="882" spans="2:14" s="228" customFormat="1" x14ac:dyDescent="0.2">
      <c r="B882" s="229"/>
      <c r="C882" s="230"/>
      <c r="D882" s="230"/>
      <c r="E882" s="230"/>
      <c r="F882" s="230"/>
      <c r="G882" s="230"/>
      <c r="H882" s="231"/>
      <c r="I882" s="231"/>
      <c r="J882" s="231"/>
      <c r="K882" s="231"/>
      <c r="L882" s="232"/>
      <c r="M882" s="231"/>
      <c r="N882" s="232"/>
    </row>
    <row r="883" spans="2:14" s="228" customFormat="1" x14ac:dyDescent="0.2">
      <c r="B883" s="229"/>
      <c r="C883" s="230"/>
      <c r="D883" s="230"/>
      <c r="E883" s="230"/>
      <c r="F883" s="230"/>
      <c r="G883" s="230"/>
      <c r="H883" s="231"/>
      <c r="I883" s="231"/>
      <c r="J883" s="231"/>
      <c r="K883" s="231"/>
      <c r="L883" s="232"/>
      <c r="M883" s="231"/>
      <c r="N883" s="232"/>
    </row>
    <row r="884" spans="2:14" s="228" customFormat="1" x14ac:dyDescent="0.2">
      <c r="B884" s="229"/>
      <c r="C884" s="230"/>
      <c r="D884" s="230"/>
      <c r="E884" s="230"/>
      <c r="F884" s="230"/>
      <c r="G884" s="230"/>
      <c r="H884" s="231"/>
      <c r="I884" s="231"/>
      <c r="J884" s="231"/>
      <c r="K884" s="231"/>
      <c r="L884" s="232"/>
      <c r="M884" s="231"/>
      <c r="N884" s="232"/>
    </row>
    <row r="885" spans="2:14" s="228" customFormat="1" x14ac:dyDescent="0.2">
      <c r="B885" s="229"/>
      <c r="C885" s="230"/>
      <c r="D885" s="230"/>
      <c r="E885" s="230"/>
      <c r="F885" s="230"/>
      <c r="G885" s="230"/>
      <c r="H885" s="231"/>
      <c r="I885" s="231"/>
      <c r="J885" s="231"/>
      <c r="K885" s="231"/>
      <c r="L885" s="232"/>
      <c r="M885" s="231"/>
      <c r="N885" s="232"/>
    </row>
    <row r="886" spans="2:14" s="228" customFormat="1" x14ac:dyDescent="0.2">
      <c r="B886" s="229"/>
      <c r="C886" s="230"/>
      <c r="D886" s="230"/>
      <c r="E886" s="230"/>
      <c r="F886" s="230"/>
      <c r="G886" s="230"/>
      <c r="H886" s="231"/>
      <c r="I886" s="231"/>
      <c r="J886" s="231"/>
      <c r="K886" s="231"/>
      <c r="L886" s="232"/>
      <c r="M886" s="231"/>
      <c r="N886" s="232"/>
    </row>
    <row r="887" spans="2:14" s="228" customFormat="1" x14ac:dyDescent="0.2">
      <c r="B887" s="229"/>
      <c r="C887" s="230"/>
      <c r="D887" s="230"/>
      <c r="E887" s="230"/>
      <c r="F887" s="230"/>
      <c r="G887" s="230"/>
      <c r="H887" s="231"/>
      <c r="I887" s="231"/>
      <c r="J887" s="231"/>
      <c r="K887" s="231"/>
      <c r="L887" s="232"/>
      <c r="M887" s="231"/>
      <c r="N887" s="232"/>
    </row>
    <row r="888" spans="2:14" s="228" customFormat="1" x14ac:dyDescent="0.2">
      <c r="B888" s="229"/>
      <c r="C888" s="230"/>
      <c r="D888" s="230"/>
      <c r="E888" s="230"/>
      <c r="F888" s="230"/>
      <c r="G888" s="230"/>
      <c r="H888" s="231"/>
      <c r="I888" s="231"/>
      <c r="J888" s="231"/>
      <c r="K888" s="231"/>
      <c r="L888" s="232"/>
      <c r="M888" s="231"/>
      <c r="N888" s="232"/>
    </row>
    <row r="889" spans="2:14" s="228" customFormat="1" x14ac:dyDescent="0.2">
      <c r="B889" s="229"/>
      <c r="C889" s="230"/>
      <c r="D889" s="230"/>
      <c r="E889" s="230"/>
      <c r="F889" s="230"/>
      <c r="G889" s="230"/>
      <c r="H889" s="231"/>
      <c r="I889" s="231"/>
      <c r="J889" s="231"/>
      <c r="K889" s="231"/>
      <c r="L889" s="232"/>
      <c r="M889" s="231"/>
      <c r="N889" s="232"/>
    </row>
    <row r="890" spans="2:14" s="228" customFormat="1" x14ac:dyDescent="0.2">
      <c r="B890" s="229"/>
      <c r="C890" s="230"/>
      <c r="D890" s="230"/>
      <c r="E890" s="230"/>
      <c r="F890" s="230"/>
      <c r="G890" s="230"/>
      <c r="H890" s="231"/>
      <c r="I890" s="231"/>
      <c r="J890" s="231"/>
      <c r="K890" s="231"/>
      <c r="L890" s="232"/>
      <c r="M890" s="231"/>
      <c r="N890" s="232"/>
    </row>
    <row r="891" spans="2:14" s="228" customFormat="1" x14ac:dyDescent="0.2">
      <c r="B891" s="229"/>
      <c r="C891" s="230"/>
      <c r="D891" s="230"/>
      <c r="E891" s="230"/>
      <c r="F891" s="230"/>
      <c r="G891" s="230"/>
      <c r="H891" s="231"/>
      <c r="I891" s="231"/>
      <c r="J891" s="231"/>
      <c r="K891" s="231"/>
      <c r="L891" s="232"/>
      <c r="M891" s="231"/>
      <c r="N891" s="232"/>
    </row>
    <row r="892" spans="2:14" s="228" customFormat="1" x14ac:dyDescent="0.2">
      <c r="B892" s="229"/>
      <c r="C892" s="230"/>
      <c r="D892" s="230"/>
      <c r="E892" s="230"/>
      <c r="F892" s="230"/>
      <c r="G892" s="230"/>
      <c r="H892" s="231"/>
      <c r="I892" s="231"/>
      <c r="J892" s="231"/>
      <c r="K892" s="231"/>
      <c r="L892" s="232"/>
      <c r="M892" s="231"/>
      <c r="N892" s="232"/>
    </row>
    <row r="893" spans="2:14" s="228" customFormat="1" x14ac:dyDescent="0.2">
      <c r="B893" s="229"/>
      <c r="C893" s="230"/>
      <c r="D893" s="230"/>
      <c r="E893" s="230"/>
      <c r="F893" s="230"/>
      <c r="G893" s="230"/>
      <c r="H893" s="231"/>
      <c r="I893" s="231"/>
      <c r="J893" s="231"/>
      <c r="K893" s="231"/>
      <c r="L893" s="232"/>
      <c r="M893" s="231"/>
      <c r="N893" s="232"/>
    </row>
    <row r="894" spans="2:14" s="228" customFormat="1" x14ac:dyDescent="0.2">
      <c r="B894" s="229"/>
      <c r="C894" s="230"/>
      <c r="D894" s="230"/>
      <c r="E894" s="230"/>
      <c r="F894" s="230"/>
      <c r="G894" s="230"/>
      <c r="H894" s="231"/>
      <c r="I894" s="231"/>
      <c r="J894" s="231"/>
      <c r="K894" s="231"/>
      <c r="L894" s="232"/>
      <c r="M894" s="231"/>
      <c r="N894" s="232"/>
    </row>
    <row r="895" spans="2:14" s="228" customFormat="1" x14ac:dyDescent="0.2">
      <c r="B895" s="229"/>
      <c r="C895" s="230"/>
      <c r="D895" s="230"/>
      <c r="E895" s="230"/>
      <c r="F895" s="230"/>
      <c r="G895" s="230"/>
      <c r="H895" s="231"/>
      <c r="I895" s="231"/>
      <c r="J895" s="231"/>
      <c r="K895" s="231"/>
      <c r="L895" s="232"/>
      <c r="M895" s="231"/>
      <c r="N895" s="232"/>
    </row>
    <row r="896" spans="2:14" s="228" customFormat="1" x14ac:dyDescent="0.2">
      <c r="B896" s="229"/>
      <c r="C896" s="230"/>
      <c r="D896" s="230"/>
      <c r="E896" s="230"/>
      <c r="F896" s="230"/>
      <c r="G896" s="230"/>
      <c r="H896" s="231"/>
      <c r="I896" s="231"/>
      <c r="J896" s="231"/>
      <c r="K896" s="231"/>
      <c r="L896" s="232"/>
      <c r="M896" s="231"/>
      <c r="N896" s="232"/>
    </row>
    <row r="897" spans="2:14" s="228" customFormat="1" x14ac:dyDescent="0.2">
      <c r="B897" s="229"/>
      <c r="C897" s="230"/>
      <c r="D897" s="230"/>
      <c r="E897" s="230"/>
      <c r="F897" s="230"/>
      <c r="G897" s="230"/>
      <c r="H897" s="231"/>
      <c r="I897" s="231"/>
      <c r="J897" s="231"/>
      <c r="K897" s="231"/>
      <c r="L897" s="232"/>
      <c r="M897" s="231"/>
      <c r="N897" s="232"/>
    </row>
    <row r="898" spans="2:14" s="228" customFormat="1" x14ac:dyDescent="0.2">
      <c r="B898" s="229"/>
      <c r="C898" s="230"/>
      <c r="D898" s="230"/>
      <c r="E898" s="230"/>
      <c r="F898" s="230"/>
      <c r="G898" s="230"/>
      <c r="H898" s="231"/>
      <c r="I898" s="231"/>
      <c r="J898" s="231"/>
      <c r="K898" s="231"/>
      <c r="L898" s="232"/>
      <c r="M898" s="231"/>
      <c r="N898" s="232"/>
    </row>
    <row r="899" spans="2:14" s="228" customFormat="1" x14ac:dyDescent="0.2">
      <c r="B899" s="229"/>
      <c r="C899" s="230"/>
      <c r="D899" s="230"/>
      <c r="E899" s="230"/>
      <c r="F899" s="230"/>
      <c r="G899" s="230"/>
      <c r="H899" s="231"/>
      <c r="I899" s="231"/>
      <c r="J899" s="231"/>
      <c r="K899" s="231"/>
      <c r="L899" s="232"/>
      <c r="M899" s="231"/>
      <c r="N899" s="232"/>
    </row>
    <row r="900" spans="2:14" s="228" customFormat="1" x14ac:dyDescent="0.2">
      <c r="B900" s="229"/>
      <c r="C900" s="230"/>
      <c r="D900" s="230"/>
      <c r="E900" s="230"/>
      <c r="F900" s="230"/>
      <c r="G900" s="230"/>
      <c r="H900" s="231"/>
      <c r="I900" s="231"/>
      <c r="J900" s="231"/>
      <c r="K900" s="231"/>
      <c r="L900" s="232"/>
      <c r="M900" s="231"/>
      <c r="N900" s="232"/>
    </row>
    <row r="901" spans="2:14" s="228" customFormat="1" x14ac:dyDescent="0.2">
      <c r="B901" s="229"/>
      <c r="C901" s="230"/>
      <c r="D901" s="230"/>
      <c r="E901" s="230"/>
      <c r="F901" s="230"/>
      <c r="G901" s="230"/>
      <c r="H901" s="231"/>
      <c r="I901" s="231"/>
      <c r="J901" s="231"/>
      <c r="K901" s="231"/>
      <c r="L901" s="232"/>
      <c r="M901" s="231"/>
      <c r="N901" s="232"/>
    </row>
    <row r="902" spans="2:14" s="228" customFormat="1" x14ac:dyDescent="0.2">
      <c r="B902" s="229"/>
      <c r="C902" s="230"/>
      <c r="D902" s="230"/>
      <c r="E902" s="230"/>
      <c r="F902" s="230"/>
      <c r="G902" s="230"/>
      <c r="H902" s="231"/>
      <c r="I902" s="231"/>
      <c r="J902" s="231"/>
      <c r="K902" s="231"/>
      <c r="L902" s="232"/>
      <c r="M902" s="231"/>
      <c r="N902" s="232"/>
    </row>
    <row r="903" spans="2:14" s="228" customFormat="1" x14ac:dyDescent="0.2">
      <c r="B903" s="229"/>
      <c r="C903" s="230"/>
      <c r="D903" s="230"/>
      <c r="E903" s="230"/>
      <c r="F903" s="230"/>
      <c r="G903" s="230"/>
      <c r="H903" s="231"/>
      <c r="I903" s="231"/>
      <c r="J903" s="231"/>
      <c r="K903" s="231"/>
      <c r="L903" s="232"/>
      <c r="M903" s="231"/>
      <c r="N903" s="232"/>
    </row>
    <row r="904" spans="2:14" s="228" customFormat="1" x14ac:dyDescent="0.2">
      <c r="B904" s="229"/>
      <c r="C904" s="230"/>
      <c r="D904" s="230"/>
      <c r="E904" s="230"/>
      <c r="F904" s="230"/>
      <c r="G904" s="230"/>
      <c r="H904" s="231"/>
      <c r="I904" s="231"/>
      <c r="J904" s="231"/>
      <c r="K904" s="231"/>
      <c r="L904" s="232"/>
      <c r="M904" s="231"/>
      <c r="N904" s="232"/>
    </row>
    <row r="905" spans="2:14" s="228" customFormat="1" x14ac:dyDescent="0.2">
      <c r="B905" s="229"/>
      <c r="C905" s="230"/>
      <c r="D905" s="230"/>
      <c r="E905" s="230"/>
      <c r="F905" s="230"/>
      <c r="G905" s="230"/>
      <c r="H905" s="231"/>
      <c r="I905" s="231"/>
      <c r="J905" s="231"/>
      <c r="K905" s="231"/>
      <c r="L905" s="232"/>
      <c r="M905" s="231"/>
      <c r="N905" s="232"/>
    </row>
    <row r="906" spans="2:14" s="228" customFormat="1" x14ac:dyDescent="0.2">
      <c r="B906" s="229"/>
      <c r="C906" s="230"/>
      <c r="D906" s="230"/>
      <c r="E906" s="230"/>
      <c r="F906" s="230"/>
      <c r="G906" s="230"/>
      <c r="H906" s="231"/>
      <c r="I906" s="231"/>
      <c r="J906" s="231"/>
      <c r="K906" s="231"/>
      <c r="L906" s="232"/>
      <c r="M906" s="231"/>
      <c r="N906" s="232"/>
    </row>
    <row r="907" spans="2:14" s="228" customFormat="1" x14ac:dyDescent="0.2">
      <c r="B907" s="229"/>
      <c r="C907" s="230"/>
      <c r="D907" s="230"/>
      <c r="E907" s="230"/>
      <c r="F907" s="230"/>
      <c r="G907" s="230"/>
      <c r="H907" s="231"/>
      <c r="I907" s="231"/>
      <c r="J907" s="231"/>
      <c r="K907" s="231"/>
      <c r="L907" s="232"/>
      <c r="M907" s="231"/>
      <c r="N907" s="232"/>
    </row>
    <row r="908" spans="2:14" s="228" customFormat="1" x14ac:dyDescent="0.2">
      <c r="B908" s="229"/>
      <c r="C908" s="230"/>
      <c r="D908" s="230"/>
      <c r="E908" s="230"/>
      <c r="F908" s="230"/>
      <c r="G908" s="230"/>
      <c r="H908" s="231"/>
      <c r="I908" s="231"/>
      <c r="J908" s="231"/>
      <c r="K908" s="231"/>
      <c r="L908" s="232"/>
      <c r="M908" s="231"/>
      <c r="N908" s="232"/>
    </row>
    <row r="909" spans="2:14" s="228" customFormat="1" x14ac:dyDescent="0.2">
      <c r="B909" s="229"/>
      <c r="C909" s="230"/>
      <c r="D909" s="230"/>
      <c r="E909" s="230"/>
      <c r="F909" s="230"/>
      <c r="G909" s="230"/>
      <c r="H909" s="231"/>
      <c r="I909" s="231"/>
      <c r="J909" s="231"/>
      <c r="K909" s="231"/>
      <c r="L909" s="232"/>
      <c r="M909" s="231"/>
      <c r="N909" s="232"/>
    </row>
    <row r="910" spans="2:14" s="228" customFormat="1" x14ac:dyDescent="0.2">
      <c r="B910" s="229"/>
      <c r="C910" s="230"/>
      <c r="D910" s="230"/>
      <c r="E910" s="230"/>
      <c r="F910" s="230"/>
      <c r="G910" s="230"/>
      <c r="H910" s="231"/>
      <c r="I910" s="231"/>
      <c r="J910" s="231"/>
      <c r="K910" s="231"/>
      <c r="L910" s="232"/>
      <c r="M910" s="231"/>
      <c r="N910" s="232"/>
    </row>
    <row r="911" spans="2:14" s="228" customFormat="1" x14ac:dyDescent="0.2">
      <c r="B911" s="229"/>
      <c r="C911" s="230"/>
      <c r="D911" s="230"/>
      <c r="E911" s="230"/>
      <c r="F911" s="230"/>
      <c r="G911" s="230"/>
      <c r="H911" s="231"/>
      <c r="I911" s="231"/>
      <c r="J911" s="231"/>
      <c r="K911" s="231"/>
      <c r="L911" s="232"/>
      <c r="M911" s="231"/>
      <c r="N911" s="232"/>
    </row>
    <row r="912" spans="2:14" s="228" customFormat="1" x14ac:dyDescent="0.2">
      <c r="B912" s="229"/>
      <c r="C912" s="230"/>
      <c r="D912" s="230"/>
      <c r="E912" s="230"/>
      <c r="F912" s="230"/>
      <c r="G912" s="230"/>
      <c r="H912" s="231"/>
      <c r="I912" s="231"/>
      <c r="J912" s="231"/>
      <c r="K912" s="231"/>
      <c r="L912" s="232"/>
      <c r="M912" s="231"/>
      <c r="N912" s="232"/>
    </row>
    <row r="913" spans="2:14" s="228" customFormat="1" x14ac:dyDescent="0.2">
      <c r="B913" s="229"/>
      <c r="C913" s="230"/>
      <c r="D913" s="230"/>
      <c r="E913" s="230"/>
      <c r="F913" s="230"/>
      <c r="G913" s="230"/>
      <c r="H913" s="231"/>
      <c r="I913" s="231"/>
      <c r="J913" s="231"/>
      <c r="K913" s="231"/>
      <c r="L913" s="232"/>
      <c r="M913" s="231"/>
      <c r="N913" s="232"/>
    </row>
    <row r="914" spans="2:14" s="228" customFormat="1" x14ac:dyDescent="0.2">
      <c r="B914" s="229"/>
      <c r="C914" s="230"/>
      <c r="D914" s="230"/>
      <c r="E914" s="230"/>
      <c r="F914" s="230"/>
      <c r="G914" s="230"/>
      <c r="H914" s="231"/>
      <c r="I914" s="231"/>
      <c r="J914" s="231"/>
      <c r="K914" s="231"/>
      <c r="L914" s="232"/>
      <c r="M914" s="231"/>
      <c r="N914" s="232"/>
    </row>
    <row r="915" spans="2:14" s="228" customFormat="1" x14ac:dyDescent="0.2">
      <c r="B915" s="229"/>
      <c r="C915" s="230"/>
      <c r="D915" s="230"/>
      <c r="E915" s="230"/>
      <c r="F915" s="230"/>
      <c r="G915" s="230"/>
      <c r="H915" s="231"/>
      <c r="I915" s="231"/>
      <c r="J915" s="231"/>
      <c r="K915" s="231"/>
      <c r="L915" s="232"/>
      <c r="M915" s="231"/>
      <c r="N915" s="232"/>
    </row>
    <row r="916" spans="2:14" s="228" customFormat="1" x14ac:dyDescent="0.2">
      <c r="B916" s="229"/>
      <c r="C916" s="230"/>
      <c r="D916" s="230"/>
      <c r="E916" s="230"/>
      <c r="F916" s="230"/>
      <c r="G916" s="230"/>
      <c r="H916" s="231"/>
      <c r="I916" s="231"/>
      <c r="J916" s="231"/>
      <c r="K916" s="231"/>
      <c r="L916" s="232"/>
      <c r="M916" s="231"/>
      <c r="N916" s="232"/>
    </row>
    <row r="917" spans="2:14" s="228" customFormat="1" x14ac:dyDescent="0.2">
      <c r="B917" s="229"/>
      <c r="C917" s="230"/>
      <c r="D917" s="230"/>
      <c r="E917" s="230"/>
      <c r="F917" s="230"/>
      <c r="G917" s="230"/>
      <c r="H917" s="231"/>
      <c r="I917" s="231"/>
      <c r="J917" s="231"/>
      <c r="K917" s="231"/>
      <c r="L917" s="232"/>
      <c r="M917" s="231"/>
      <c r="N917" s="232"/>
    </row>
    <row r="918" spans="2:14" s="228" customFormat="1" x14ac:dyDescent="0.2">
      <c r="B918" s="229"/>
      <c r="C918" s="230"/>
      <c r="D918" s="230"/>
      <c r="E918" s="230"/>
      <c r="F918" s="230"/>
      <c r="G918" s="230"/>
      <c r="H918" s="231"/>
      <c r="I918" s="231"/>
      <c r="J918" s="231"/>
      <c r="K918" s="231"/>
      <c r="L918" s="232"/>
      <c r="M918" s="231"/>
      <c r="N918" s="232"/>
    </row>
    <row r="919" spans="2:14" s="228" customFormat="1" x14ac:dyDescent="0.2">
      <c r="B919" s="229"/>
      <c r="C919" s="230"/>
      <c r="D919" s="230"/>
      <c r="E919" s="230"/>
      <c r="F919" s="230"/>
      <c r="G919" s="230"/>
      <c r="H919" s="231"/>
      <c r="I919" s="231"/>
      <c r="J919" s="231"/>
      <c r="K919" s="231"/>
      <c r="L919" s="232"/>
      <c r="M919" s="231"/>
      <c r="N919" s="232"/>
    </row>
    <row r="920" spans="2:14" s="228" customFormat="1" x14ac:dyDescent="0.2">
      <c r="B920" s="229"/>
      <c r="C920" s="230"/>
      <c r="D920" s="230"/>
      <c r="E920" s="230"/>
      <c r="F920" s="230"/>
      <c r="G920" s="230"/>
      <c r="H920" s="231"/>
      <c r="I920" s="231"/>
      <c r="J920" s="231"/>
      <c r="K920" s="231"/>
      <c r="L920" s="232"/>
      <c r="M920" s="231"/>
      <c r="N920" s="232"/>
    </row>
    <row r="921" spans="2:14" s="228" customFormat="1" x14ac:dyDescent="0.2">
      <c r="B921" s="229"/>
      <c r="C921" s="230"/>
      <c r="D921" s="230"/>
      <c r="E921" s="230"/>
      <c r="F921" s="230"/>
      <c r="G921" s="230"/>
      <c r="H921" s="231"/>
      <c r="I921" s="231"/>
      <c r="J921" s="231"/>
      <c r="K921" s="231"/>
      <c r="L921" s="232"/>
      <c r="M921" s="231"/>
      <c r="N921" s="232"/>
    </row>
    <row r="922" spans="2:14" s="228" customFormat="1" x14ac:dyDescent="0.2">
      <c r="B922" s="229"/>
      <c r="C922" s="230"/>
      <c r="D922" s="230"/>
      <c r="E922" s="230"/>
      <c r="F922" s="230"/>
      <c r="G922" s="230"/>
      <c r="H922" s="231"/>
      <c r="I922" s="231"/>
      <c r="J922" s="231"/>
      <c r="K922" s="231"/>
      <c r="L922" s="232"/>
      <c r="M922" s="231"/>
      <c r="N922" s="232"/>
    </row>
    <row r="923" spans="2:14" s="228" customFormat="1" x14ac:dyDescent="0.2">
      <c r="B923" s="229"/>
      <c r="C923" s="230"/>
      <c r="D923" s="230"/>
      <c r="E923" s="230"/>
      <c r="F923" s="230"/>
      <c r="G923" s="230"/>
      <c r="H923" s="231"/>
      <c r="I923" s="231"/>
      <c r="J923" s="231"/>
      <c r="K923" s="231"/>
      <c r="L923" s="232"/>
      <c r="M923" s="231"/>
      <c r="N923" s="232"/>
    </row>
    <row r="924" spans="2:14" s="228" customFormat="1" x14ac:dyDescent="0.2">
      <c r="B924" s="229"/>
      <c r="C924" s="230"/>
      <c r="D924" s="230"/>
      <c r="E924" s="230"/>
      <c r="F924" s="230"/>
      <c r="G924" s="230"/>
      <c r="H924" s="231"/>
      <c r="I924" s="231"/>
      <c r="J924" s="231"/>
      <c r="K924" s="231"/>
      <c r="L924" s="232"/>
      <c r="M924" s="231"/>
      <c r="N924" s="232"/>
    </row>
    <row r="925" spans="2:14" s="228" customFormat="1" x14ac:dyDescent="0.2">
      <c r="B925" s="229"/>
      <c r="C925" s="230"/>
      <c r="D925" s="230"/>
      <c r="E925" s="230"/>
      <c r="F925" s="230"/>
      <c r="G925" s="230"/>
      <c r="H925" s="231"/>
      <c r="I925" s="231"/>
      <c r="J925" s="231"/>
      <c r="K925" s="231"/>
      <c r="L925" s="232"/>
      <c r="M925" s="231"/>
      <c r="N925" s="232"/>
    </row>
    <row r="926" spans="2:14" s="228" customFormat="1" x14ac:dyDescent="0.2">
      <c r="B926" s="229"/>
      <c r="C926" s="230"/>
      <c r="D926" s="230"/>
      <c r="E926" s="230"/>
      <c r="F926" s="230"/>
      <c r="G926" s="230"/>
      <c r="H926" s="231"/>
      <c r="I926" s="231"/>
      <c r="J926" s="231"/>
      <c r="K926" s="231"/>
      <c r="L926" s="232"/>
      <c r="M926" s="231"/>
      <c r="N926" s="232"/>
    </row>
    <row r="927" spans="2:14" s="228" customFormat="1" x14ac:dyDescent="0.2">
      <c r="B927" s="229"/>
      <c r="C927" s="230"/>
      <c r="D927" s="230"/>
      <c r="E927" s="230"/>
      <c r="F927" s="230"/>
      <c r="G927" s="230"/>
      <c r="H927" s="231"/>
      <c r="I927" s="231"/>
      <c r="J927" s="231"/>
      <c r="K927" s="231"/>
      <c r="L927" s="232"/>
      <c r="M927" s="231"/>
      <c r="N927" s="232"/>
    </row>
    <row r="928" spans="2:14" s="228" customFormat="1" x14ac:dyDescent="0.2">
      <c r="B928" s="229"/>
      <c r="C928" s="230"/>
      <c r="D928" s="230"/>
      <c r="E928" s="230"/>
      <c r="F928" s="230"/>
      <c r="G928" s="230"/>
      <c r="H928" s="231"/>
      <c r="I928" s="231"/>
      <c r="J928" s="231"/>
      <c r="K928" s="231"/>
      <c r="L928" s="232"/>
      <c r="M928" s="231"/>
      <c r="N928" s="232"/>
    </row>
    <row r="929" spans="2:14" s="228" customFormat="1" x14ac:dyDescent="0.2">
      <c r="B929" s="229"/>
      <c r="C929" s="230"/>
      <c r="D929" s="230"/>
      <c r="E929" s="230"/>
      <c r="F929" s="230"/>
      <c r="G929" s="230"/>
      <c r="H929" s="231"/>
      <c r="I929" s="231"/>
      <c r="J929" s="231"/>
      <c r="K929" s="231"/>
      <c r="L929" s="232"/>
      <c r="M929" s="231"/>
      <c r="N929" s="232"/>
    </row>
    <row r="930" spans="2:14" s="228" customFormat="1" x14ac:dyDescent="0.2">
      <c r="B930" s="229"/>
      <c r="C930" s="230"/>
      <c r="D930" s="230"/>
      <c r="E930" s="230"/>
      <c r="F930" s="230"/>
      <c r="G930" s="230"/>
      <c r="H930" s="231"/>
      <c r="I930" s="231"/>
      <c r="J930" s="231"/>
      <c r="K930" s="231"/>
      <c r="L930" s="232"/>
      <c r="M930" s="231"/>
      <c r="N930" s="232"/>
    </row>
    <row r="931" spans="2:14" s="228" customFormat="1" x14ac:dyDescent="0.2">
      <c r="B931" s="229"/>
      <c r="C931" s="230"/>
      <c r="D931" s="230"/>
      <c r="E931" s="230"/>
      <c r="F931" s="230"/>
      <c r="G931" s="230"/>
      <c r="H931" s="231"/>
      <c r="I931" s="231"/>
      <c r="J931" s="231"/>
      <c r="K931" s="231"/>
      <c r="L931" s="232"/>
      <c r="M931" s="231"/>
      <c r="N931" s="232"/>
    </row>
    <row r="932" spans="2:14" s="228" customFormat="1" x14ac:dyDescent="0.2">
      <c r="B932" s="229"/>
      <c r="C932" s="230"/>
      <c r="D932" s="230"/>
      <c r="E932" s="230"/>
      <c r="F932" s="230"/>
      <c r="G932" s="230"/>
      <c r="H932" s="231"/>
      <c r="I932" s="231"/>
      <c r="J932" s="231"/>
      <c r="K932" s="231"/>
      <c r="L932" s="232"/>
      <c r="M932" s="231"/>
      <c r="N932" s="232"/>
    </row>
    <row r="933" spans="2:14" s="228" customFormat="1" x14ac:dyDescent="0.2">
      <c r="B933" s="229"/>
      <c r="C933" s="230"/>
      <c r="D933" s="230"/>
      <c r="E933" s="230"/>
      <c r="F933" s="230"/>
      <c r="G933" s="230"/>
      <c r="H933" s="231"/>
      <c r="I933" s="231"/>
      <c r="J933" s="231"/>
      <c r="K933" s="231"/>
      <c r="L933" s="232"/>
      <c r="M933" s="231"/>
      <c r="N933" s="232"/>
    </row>
    <row r="934" spans="2:14" s="228" customFormat="1" x14ac:dyDescent="0.2">
      <c r="B934" s="229"/>
      <c r="C934" s="230"/>
      <c r="D934" s="230"/>
      <c r="E934" s="230"/>
      <c r="F934" s="230"/>
      <c r="G934" s="230"/>
      <c r="H934" s="231"/>
      <c r="I934" s="231"/>
      <c r="J934" s="231"/>
      <c r="K934" s="231"/>
      <c r="L934" s="232"/>
      <c r="M934" s="231"/>
      <c r="N934" s="232"/>
    </row>
    <row r="935" spans="2:14" s="228" customFormat="1" x14ac:dyDescent="0.2">
      <c r="B935" s="229"/>
      <c r="C935" s="230"/>
      <c r="D935" s="230"/>
      <c r="E935" s="230"/>
      <c r="F935" s="230"/>
      <c r="G935" s="230"/>
      <c r="H935" s="231"/>
      <c r="I935" s="231"/>
      <c r="J935" s="231"/>
      <c r="K935" s="231"/>
      <c r="L935" s="232"/>
      <c r="M935" s="231"/>
      <c r="N935" s="232"/>
    </row>
    <row r="936" spans="2:14" s="228" customFormat="1" x14ac:dyDescent="0.2">
      <c r="B936" s="229"/>
      <c r="C936" s="230"/>
      <c r="D936" s="230"/>
      <c r="E936" s="230"/>
      <c r="F936" s="230"/>
      <c r="G936" s="230"/>
      <c r="H936" s="231"/>
      <c r="I936" s="231"/>
      <c r="J936" s="231"/>
      <c r="K936" s="231"/>
      <c r="L936" s="232"/>
      <c r="M936" s="231"/>
      <c r="N936" s="232"/>
    </row>
    <row r="937" spans="2:14" s="228" customFormat="1" x14ac:dyDescent="0.2">
      <c r="B937" s="229"/>
      <c r="C937" s="230"/>
      <c r="D937" s="230"/>
      <c r="E937" s="230"/>
      <c r="F937" s="230"/>
      <c r="G937" s="230"/>
      <c r="H937" s="231"/>
      <c r="I937" s="231"/>
      <c r="J937" s="231"/>
      <c r="K937" s="231"/>
      <c r="L937" s="232"/>
      <c r="M937" s="231"/>
      <c r="N937" s="232"/>
    </row>
    <row r="938" spans="2:14" s="228" customFormat="1" x14ac:dyDescent="0.2">
      <c r="B938" s="229"/>
      <c r="C938" s="230"/>
      <c r="D938" s="230"/>
      <c r="E938" s="230"/>
      <c r="F938" s="230"/>
      <c r="G938" s="230"/>
      <c r="H938" s="231"/>
      <c r="I938" s="231"/>
      <c r="J938" s="231"/>
      <c r="K938" s="231"/>
      <c r="L938" s="232"/>
      <c r="M938" s="231"/>
      <c r="N938" s="232"/>
    </row>
    <row r="939" spans="2:14" s="228" customFormat="1" x14ac:dyDescent="0.2">
      <c r="B939" s="229"/>
      <c r="C939" s="230"/>
      <c r="D939" s="230"/>
      <c r="E939" s="230"/>
      <c r="F939" s="230"/>
      <c r="G939" s="230"/>
      <c r="H939" s="231"/>
      <c r="I939" s="231"/>
      <c r="J939" s="231"/>
      <c r="K939" s="231"/>
      <c r="L939" s="232"/>
      <c r="M939" s="231"/>
      <c r="N939" s="232"/>
    </row>
    <row r="940" spans="2:14" s="228" customFormat="1" x14ac:dyDescent="0.2">
      <c r="B940" s="229"/>
      <c r="C940" s="230"/>
      <c r="D940" s="230"/>
      <c r="E940" s="230"/>
      <c r="F940" s="230"/>
      <c r="G940" s="230"/>
      <c r="H940" s="231"/>
      <c r="I940" s="231"/>
      <c r="J940" s="231"/>
      <c r="K940" s="231"/>
      <c r="L940" s="232"/>
      <c r="M940" s="231"/>
      <c r="N940" s="232"/>
    </row>
    <row r="941" spans="2:14" s="228" customFormat="1" x14ac:dyDescent="0.2">
      <c r="B941" s="229"/>
      <c r="C941" s="230"/>
      <c r="D941" s="230"/>
      <c r="E941" s="230"/>
      <c r="F941" s="230"/>
      <c r="G941" s="230"/>
      <c r="H941" s="231"/>
      <c r="I941" s="231"/>
      <c r="J941" s="231"/>
      <c r="K941" s="231"/>
      <c r="L941" s="232"/>
      <c r="M941" s="231"/>
      <c r="N941" s="232"/>
    </row>
    <row r="942" spans="2:14" s="228" customFormat="1" x14ac:dyDescent="0.2">
      <c r="B942" s="229"/>
      <c r="C942" s="230"/>
      <c r="D942" s="230"/>
      <c r="E942" s="230"/>
      <c r="F942" s="230"/>
      <c r="G942" s="230"/>
      <c r="H942" s="231"/>
      <c r="I942" s="231"/>
      <c r="J942" s="231"/>
      <c r="K942" s="231"/>
      <c r="L942" s="232"/>
      <c r="M942" s="231"/>
      <c r="N942" s="232"/>
    </row>
    <row r="943" spans="2:14" s="228" customFormat="1" x14ac:dyDescent="0.2">
      <c r="B943" s="229"/>
      <c r="C943" s="230"/>
      <c r="D943" s="230"/>
      <c r="E943" s="230"/>
      <c r="F943" s="230"/>
      <c r="G943" s="230"/>
      <c r="H943" s="231"/>
      <c r="I943" s="231"/>
      <c r="J943" s="231"/>
      <c r="K943" s="231"/>
      <c r="L943" s="232"/>
      <c r="M943" s="231"/>
      <c r="N943" s="232"/>
    </row>
    <row r="944" spans="2:14" s="228" customFormat="1" x14ac:dyDescent="0.2">
      <c r="B944" s="229"/>
      <c r="C944" s="230"/>
      <c r="D944" s="230"/>
      <c r="E944" s="230"/>
      <c r="F944" s="230"/>
      <c r="G944" s="230"/>
      <c r="H944" s="231"/>
      <c r="I944" s="231"/>
      <c r="J944" s="231"/>
      <c r="K944" s="231"/>
      <c r="L944" s="232"/>
      <c r="M944" s="231"/>
      <c r="N944" s="232"/>
    </row>
    <row r="945" spans="2:14" s="228" customFormat="1" x14ac:dyDescent="0.2">
      <c r="B945" s="229"/>
      <c r="C945" s="230"/>
      <c r="D945" s="230"/>
      <c r="E945" s="230"/>
      <c r="F945" s="230"/>
      <c r="G945" s="230"/>
      <c r="H945" s="231"/>
      <c r="I945" s="231"/>
      <c r="J945" s="231"/>
      <c r="K945" s="231"/>
      <c r="L945" s="232"/>
      <c r="M945" s="231"/>
      <c r="N945" s="232"/>
    </row>
    <row r="946" spans="2:14" s="228" customFormat="1" x14ac:dyDescent="0.2">
      <c r="B946" s="229"/>
      <c r="C946" s="230"/>
      <c r="D946" s="230"/>
      <c r="E946" s="230"/>
      <c r="F946" s="230"/>
      <c r="G946" s="230"/>
      <c r="H946" s="231"/>
      <c r="I946" s="231"/>
      <c r="J946" s="231"/>
      <c r="K946" s="231"/>
      <c r="L946" s="232"/>
      <c r="M946" s="231"/>
      <c r="N946" s="232"/>
    </row>
    <row r="947" spans="2:14" s="228" customFormat="1" x14ac:dyDescent="0.2">
      <c r="B947" s="229"/>
      <c r="C947" s="230"/>
      <c r="D947" s="230"/>
      <c r="E947" s="230"/>
      <c r="F947" s="230"/>
      <c r="G947" s="230"/>
      <c r="H947" s="231"/>
      <c r="I947" s="231"/>
      <c r="J947" s="231"/>
      <c r="K947" s="231"/>
      <c r="L947" s="232"/>
      <c r="M947" s="231"/>
      <c r="N947" s="232"/>
    </row>
    <row r="948" spans="2:14" s="228" customFormat="1" x14ac:dyDescent="0.2">
      <c r="B948" s="229"/>
      <c r="C948" s="230"/>
      <c r="D948" s="230"/>
      <c r="E948" s="230"/>
      <c r="F948" s="230"/>
      <c r="G948" s="230"/>
      <c r="H948" s="231"/>
      <c r="I948" s="231"/>
      <c r="J948" s="231"/>
      <c r="K948" s="231"/>
      <c r="L948" s="232"/>
      <c r="M948" s="231"/>
      <c r="N948" s="232"/>
    </row>
    <row r="949" spans="2:14" s="228" customFormat="1" x14ac:dyDescent="0.2">
      <c r="B949" s="229"/>
      <c r="C949" s="230"/>
      <c r="D949" s="230"/>
      <c r="E949" s="230"/>
      <c r="F949" s="230"/>
      <c r="G949" s="230"/>
      <c r="H949" s="231"/>
      <c r="I949" s="231"/>
      <c r="J949" s="231"/>
      <c r="K949" s="231"/>
      <c r="L949" s="232"/>
      <c r="M949" s="231"/>
      <c r="N949" s="232"/>
    </row>
    <row r="950" spans="2:14" s="228" customFormat="1" x14ac:dyDescent="0.2">
      <c r="B950" s="229"/>
      <c r="C950" s="230"/>
      <c r="D950" s="230"/>
      <c r="E950" s="230"/>
      <c r="F950" s="230"/>
      <c r="G950" s="230"/>
      <c r="H950" s="231"/>
      <c r="I950" s="231"/>
      <c r="J950" s="231"/>
      <c r="K950" s="231"/>
      <c r="L950" s="232"/>
      <c r="M950" s="231"/>
      <c r="N950" s="232"/>
    </row>
    <row r="951" spans="2:14" s="228" customFormat="1" x14ac:dyDescent="0.2">
      <c r="B951" s="229"/>
      <c r="C951" s="230"/>
      <c r="D951" s="230"/>
      <c r="E951" s="230"/>
      <c r="F951" s="230"/>
      <c r="G951" s="230"/>
      <c r="H951" s="231"/>
      <c r="I951" s="231"/>
      <c r="J951" s="231"/>
      <c r="K951" s="231"/>
      <c r="L951" s="232"/>
      <c r="M951" s="231"/>
      <c r="N951" s="232"/>
    </row>
    <row r="952" spans="2:14" s="228" customFormat="1" x14ac:dyDescent="0.2">
      <c r="B952" s="229"/>
      <c r="C952" s="230"/>
      <c r="D952" s="230"/>
      <c r="E952" s="230"/>
      <c r="F952" s="230"/>
      <c r="G952" s="230"/>
      <c r="H952" s="231"/>
      <c r="I952" s="231"/>
      <c r="J952" s="231"/>
      <c r="K952" s="231"/>
      <c r="L952" s="232"/>
      <c r="M952" s="231"/>
      <c r="N952" s="232"/>
    </row>
    <row r="953" spans="2:14" s="228" customFormat="1" x14ac:dyDescent="0.2">
      <c r="B953" s="229"/>
      <c r="C953" s="230"/>
      <c r="D953" s="230"/>
      <c r="E953" s="230"/>
      <c r="F953" s="230"/>
      <c r="G953" s="230"/>
      <c r="H953" s="231"/>
      <c r="I953" s="231"/>
      <c r="J953" s="231"/>
      <c r="K953" s="231"/>
      <c r="L953" s="232"/>
      <c r="M953" s="231"/>
      <c r="N953" s="232"/>
    </row>
    <row r="954" spans="2:14" s="228" customFormat="1" x14ac:dyDescent="0.2">
      <c r="B954" s="229"/>
      <c r="C954" s="230"/>
      <c r="D954" s="230"/>
      <c r="E954" s="230"/>
      <c r="F954" s="230"/>
      <c r="G954" s="230"/>
      <c r="H954" s="231"/>
      <c r="I954" s="231"/>
      <c r="J954" s="231"/>
      <c r="K954" s="231"/>
      <c r="L954" s="232"/>
      <c r="M954" s="231"/>
      <c r="N954" s="232"/>
    </row>
    <row r="955" spans="2:14" s="228" customFormat="1" x14ac:dyDescent="0.2">
      <c r="B955" s="229"/>
      <c r="C955" s="230"/>
      <c r="D955" s="230"/>
      <c r="E955" s="230"/>
      <c r="F955" s="230"/>
      <c r="G955" s="230"/>
      <c r="H955" s="231"/>
      <c r="I955" s="231"/>
      <c r="J955" s="231"/>
      <c r="K955" s="231"/>
      <c r="L955" s="232"/>
      <c r="M955" s="231"/>
      <c r="N955" s="232"/>
    </row>
    <row r="956" spans="2:14" s="228" customFormat="1" x14ac:dyDescent="0.2">
      <c r="B956" s="229"/>
      <c r="C956" s="230"/>
      <c r="D956" s="230"/>
      <c r="E956" s="230"/>
      <c r="F956" s="230"/>
      <c r="G956" s="230"/>
      <c r="H956" s="231"/>
      <c r="I956" s="231"/>
      <c r="J956" s="231"/>
      <c r="K956" s="231"/>
      <c r="L956" s="232"/>
      <c r="M956" s="231"/>
      <c r="N956" s="232"/>
    </row>
    <row r="957" spans="2:14" s="228" customFormat="1" x14ac:dyDescent="0.2">
      <c r="B957" s="229"/>
      <c r="C957" s="230"/>
      <c r="D957" s="230"/>
      <c r="E957" s="230"/>
      <c r="F957" s="230"/>
      <c r="G957" s="230"/>
      <c r="H957" s="231"/>
      <c r="I957" s="231"/>
      <c r="J957" s="231"/>
      <c r="K957" s="231"/>
      <c r="L957" s="232"/>
      <c r="M957" s="231"/>
      <c r="N957" s="232"/>
    </row>
    <row r="958" spans="2:14" s="228" customFormat="1" x14ac:dyDescent="0.2">
      <c r="B958" s="229"/>
      <c r="C958" s="230"/>
      <c r="D958" s="230"/>
      <c r="E958" s="230"/>
      <c r="F958" s="230"/>
      <c r="G958" s="230"/>
      <c r="H958" s="231"/>
      <c r="I958" s="231"/>
      <c r="J958" s="231"/>
      <c r="K958" s="231"/>
      <c r="L958" s="232"/>
      <c r="M958" s="231"/>
      <c r="N958" s="232"/>
    </row>
    <row r="959" spans="2:14" s="228" customFormat="1" x14ac:dyDescent="0.2">
      <c r="B959" s="229"/>
      <c r="C959" s="230"/>
      <c r="D959" s="230"/>
      <c r="E959" s="230"/>
      <c r="F959" s="230"/>
      <c r="G959" s="230"/>
      <c r="H959" s="231"/>
      <c r="I959" s="231"/>
      <c r="J959" s="231"/>
      <c r="K959" s="231"/>
      <c r="L959" s="232"/>
      <c r="M959" s="231"/>
      <c r="N959" s="232"/>
    </row>
    <row r="960" spans="2:14" s="228" customFormat="1" x14ac:dyDescent="0.2">
      <c r="B960" s="229"/>
      <c r="C960" s="230"/>
      <c r="D960" s="230"/>
      <c r="E960" s="230"/>
      <c r="F960" s="230"/>
      <c r="G960" s="230"/>
      <c r="H960" s="231"/>
      <c r="I960" s="231"/>
      <c r="J960" s="231"/>
      <c r="K960" s="231"/>
      <c r="L960" s="232"/>
      <c r="M960" s="231"/>
      <c r="N960" s="232"/>
    </row>
    <row r="961" spans="2:14" s="228" customFormat="1" x14ac:dyDescent="0.2">
      <c r="B961" s="229"/>
      <c r="C961" s="230"/>
      <c r="D961" s="230"/>
      <c r="E961" s="230"/>
      <c r="F961" s="230"/>
      <c r="G961" s="230"/>
      <c r="H961" s="231"/>
      <c r="I961" s="231"/>
      <c r="J961" s="231"/>
      <c r="K961" s="231"/>
      <c r="L961" s="232"/>
      <c r="M961" s="231"/>
      <c r="N961" s="232"/>
    </row>
    <row r="962" spans="2:14" s="228" customFormat="1" x14ac:dyDescent="0.2">
      <c r="B962" s="229"/>
      <c r="C962" s="230"/>
      <c r="D962" s="230"/>
      <c r="E962" s="230"/>
      <c r="F962" s="230"/>
      <c r="G962" s="230"/>
      <c r="H962" s="231"/>
      <c r="I962" s="231"/>
      <c r="J962" s="231"/>
      <c r="K962" s="231"/>
      <c r="L962" s="232"/>
      <c r="M962" s="231"/>
      <c r="N962" s="232"/>
    </row>
    <row r="963" spans="2:14" s="228" customFormat="1" x14ac:dyDescent="0.2">
      <c r="B963" s="229"/>
      <c r="C963" s="230"/>
      <c r="D963" s="230"/>
      <c r="E963" s="230"/>
      <c r="F963" s="230"/>
      <c r="G963" s="230"/>
      <c r="H963" s="231"/>
      <c r="I963" s="231"/>
      <c r="J963" s="231"/>
      <c r="K963" s="231"/>
      <c r="L963" s="232"/>
      <c r="M963" s="231"/>
      <c r="N963" s="232"/>
    </row>
    <row r="964" spans="2:14" s="228" customFormat="1" x14ac:dyDescent="0.2">
      <c r="B964" s="229"/>
      <c r="C964" s="230"/>
      <c r="D964" s="230"/>
      <c r="E964" s="230"/>
      <c r="F964" s="230"/>
      <c r="G964" s="230"/>
      <c r="H964" s="231"/>
      <c r="I964" s="231"/>
      <c r="J964" s="231"/>
      <c r="K964" s="231"/>
      <c r="L964" s="232"/>
      <c r="M964" s="231"/>
      <c r="N964" s="232"/>
    </row>
    <row r="965" spans="2:14" s="228" customFormat="1" x14ac:dyDescent="0.2">
      <c r="B965" s="229"/>
      <c r="C965" s="230"/>
      <c r="D965" s="230"/>
      <c r="E965" s="230"/>
      <c r="F965" s="230"/>
      <c r="G965" s="230"/>
      <c r="H965" s="231"/>
      <c r="I965" s="231"/>
      <c r="J965" s="231"/>
      <c r="K965" s="231"/>
      <c r="L965" s="232"/>
      <c r="M965" s="231"/>
      <c r="N965" s="232"/>
    </row>
    <row r="966" spans="2:14" s="228" customFormat="1" x14ac:dyDescent="0.2">
      <c r="B966" s="229"/>
      <c r="C966" s="230"/>
      <c r="D966" s="230"/>
      <c r="E966" s="230"/>
      <c r="F966" s="230"/>
      <c r="G966" s="230"/>
      <c r="H966" s="231"/>
      <c r="I966" s="231"/>
      <c r="J966" s="231"/>
      <c r="K966" s="231"/>
      <c r="L966" s="232"/>
      <c r="M966" s="231"/>
      <c r="N966" s="232"/>
    </row>
    <row r="967" spans="2:14" s="228" customFormat="1" x14ac:dyDescent="0.2">
      <c r="B967" s="229"/>
      <c r="C967" s="230"/>
      <c r="D967" s="230"/>
      <c r="E967" s="230"/>
      <c r="F967" s="230"/>
      <c r="G967" s="230"/>
      <c r="H967" s="231"/>
      <c r="I967" s="231"/>
      <c r="J967" s="231"/>
      <c r="K967" s="231"/>
      <c r="L967" s="232"/>
      <c r="M967" s="231"/>
      <c r="N967" s="232"/>
    </row>
    <row r="968" spans="2:14" s="228" customFormat="1" x14ac:dyDescent="0.2">
      <c r="B968" s="229"/>
      <c r="C968" s="230"/>
      <c r="D968" s="230"/>
      <c r="E968" s="230"/>
      <c r="F968" s="230"/>
      <c r="G968" s="230"/>
      <c r="H968" s="231"/>
      <c r="I968" s="231"/>
      <c r="J968" s="231"/>
      <c r="K968" s="231"/>
      <c r="L968" s="232"/>
      <c r="M968" s="231"/>
      <c r="N968" s="232"/>
    </row>
    <row r="969" spans="2:14" s="228" customFormat="1" x14ac:dyDescent="0.2">
      <c r="B969" s="229"/>
      <c r="C969" s="230"/>
      <c r="D969" s="230"/>
      <c r="E969" s="230"/>
      <c r="F969" s="230"/>
      <c r="G969" s="230"/>
      <c r="H969" s="231"/>
      <c r="I969" s="231"/>
      <c r="J969" s="231"/>
      <c r="K969" s="231"/>
      <c r="L969" s="232"/>
      <c r="M969" s="231"/>
      <c r="N969" s="232"/>
    </row>
    <row r="970" spans="2:14" s="228" customFormat="1" x14ac:dyDescent="0.2">
      <c r="B970" s="229"/>
      <c r="C970" s="230"/>
      <c r="D970" s="230"/>
      <c r="E970" s="230"/>
      <c r="F970" s="230"/>
      <c r="G970" s="230"/>
      <c r="H970" s="231"/>
      <c r="I970" s="231"/>
      <c r="J970" s="231"/>
      <c r="K970" s="231"/>
      <c r="L970" s="232"/>
      <c r="M970" s="231"/>
      <c r="N970" s="232"/>
    </row>
    <row r="971" spans="2:14" s="228" customFormat="1" x14ac:dyDescent="0.2">
      <c r="B971" s="229"/>
      <c r="C971" s="230"/>
      <c r="D971" s="230"/>
      <c r="E971" s="230"/>
      <c r="F971" s="230"/>
      <c r="G971" s="230"/>
      <c r="H971" s="231"/>
      <c r="I971" s="231"/>
      <c r="J971" s="231"/>
      <c r="K971" s="231"/>
      <c r="L971" s="232"/>
      <c r="M971" s="231"/>
      <c r="N971" s="232"/>
    </row>
    <row r="972" spans="2:14" s="228" customFormat="1" x14ac:dyDescent="0.2">
      <c r="B972" s="229"/>
      <c r="C972" s="230"/>
      <c r="D972" s="230"/>
      <c r="E972" s="230"/>
      <c r="F972" s="230"/>
      <c r="G972" s="230"/>
      <c r="H972" s="231"/>
      <c r="I972" s="231"/>
      <c r="J972" s="231"/>
      <c r="K972" s="231"/>
      <c r="L972" s="232"/>
      <c r="M972" s="231"/>
      <c r="N972" s="232"/>
    </row>
    <row r="973" spans="2:14" s="228" customFormat="1" x14ac:dyDescent="0.2">
      <c r="B973" s="229"/>
      <c r="C973" s="230"/>
      <c r="D973" s="230"/>
      <c r="E973" s="230"/>
      <c r="F973" s="230"/>
      <c r="G973" s="230"/>
      <c r="H973" s="231"/>
      <c r="I973" s="231"/>
      <c r="J973" s="231"/>
      <c r="K973" s="231"/>
      <c r="L973" s="232"/>
      <c r="M973" s="231"/>
      <c r="N973" s="232"/>
    </row>
    <row r="974" spans="2:14" s="228" customFormat="1" x14ac:dyDescent="0.2">
      <c r="B974" s="229"/>
      <c r="C974" s="230"/>
      <c r="D974" s="230"/>
      <c r="E974" s="230"/>
      <c r="F974" s="230"/>
      <c r="G974" s="230"/>
      <c r="H974" s="231"/>
      <c r="I974" s="231"/>
      <c r="J974" s="231"/>
      <c r="K974" s="231"/>
      <c r="L974" s="232"/>
      <c r="M974" s="231"/>
      <c r="N974" s="232"/>
    </row>
    <row r="975" spans="2:14" s="228" customFormat="1" x14ac:dyDescent="0.2">
      <c r="B975" s="229"/>
      <c r="C975" s="230"/>
      <c r="D975" s="230"/>
      <c r="E975" s="230"/>
      <c r="F975" s="230"/>
      <c r="G975" s="230"/>
      <c r="H975" s="231"/>
      <c r="I975" s="231"/>
      <c r="J975" s="231"/>
      <c r="K975" s="231"/>
      <c r="L975" s="232"/>
      <c r="M975" s="231"/>
      <c r="N975" s="232"/>
    </row>
    <row r="976" spans="2:14" s="228" customFormat="1" x14ac:dyDescent="0.2">
      <c r="B976" s="229"/>
      <c r="C976" s="230"/>
      <c r="D976" s="230"/>
      <c r="E976" s="230"/>
      <c r="F976" s="230"/>
      <c r="G976" s="230"/>
      <c r="H976" s="231"/>
      <c r="I976" s="231"/>
      <c r="J976" s="231"/>
      <c r="K976" s="231"/>
      <c r="L976" s="232"/>
      <c r="M976" s="231"/>
      <c r="N976" s="232"/>
    </row>
    <row r="977" spans="2:14" s="228" customFormat="1" x14ac:dyDescent="0.2">
      <c r="B977" s="229"/>
      <c r="C977" s="230"/>
      <c r="D977" s="230"/>
      <c r="E977" s="230"/>
      <c r="F977" s="230"/>
      <c r="G977" s="230"/>
      <c r="H977" s="231"/>
      <c r="I977" s="231"/>
      <c r="J977" s="231"/>
      <c r="K977" s="231"/>
      <c r="L977" s="232"/>
      <c r="M977" s="231"/>
      <c r="N977" s="232"/>
    </row>
    <row r="978" spans="2:14" s="228" customFormat="1" x14ac:dyDescent="0.2">
      <c r="B978" s="229"/>
      <c r="C978" s="230"/>
      <c r="D978" s="230"/>
      <c r="E978" s="230"/>
      <c r="F978" s="230"/>
      <c r="G978" s="230"/>
      <c r="H978" s="231"/>
      <c r="I978" s="231"/>
      <c r="J978" s="231"/>
      <c r="K978" s="231"/>
      <c r="L978" s="232"/>
      <c r="M978" s="231"/>
      <c r="N978" s="232"/>
    </row>
    <row r="979" spans="2:14" s="228" customFormat="1" x14ac:dyDescent="0.2">
      <c r="B979" s="229"/>
      <c r="C979" s="230"/>
      <c r="D979" s="230"/>
      <c r="E979" s="230"/>
      <c r="F979" s="230"/>
      <c r="G979" s="230"/>
      <c r="H979" s="231"/>
      <c r="I979" s="231"/>
      <c r="J979" s="231"/>
      <c r="K979" s="231"/>
      <c r="L979" s="232"/>
      <c r="M979" s="231"/>
      <c r="N979" s="232"/>
    </row>
    <row r="980" spans="2:14" s="228" customFormat="1" x14ac:dyDescent="0.2">
      <c r="B980" s="229"/>
      <c r="C980" s="230"/>
      <c r="D980" s="230"/>
      <c r="E980" s="230"/>
      <c r="F980" s="230"/>
      <c r="G980" s="230"/>
      <c r="H980" s="231"/>
      <c r="I980" s="231"/>
      <c r="J980" s="231"/>
      <c r="K980" s="231"/>
      <c r="L980" s="232"/>
      <c r="M980" s="231"/>
      <c r="N980" s="232"/>
    </row>
    <row r="981" spans="2:14" s="228" customFormat="1" x14ac:dyDescent="0.2">
      <c r="B981" s="229"/>
      <c r="C981" s="230"/>
      <c r="D981" s="230"/>
      <c r="E981" s="230"/>
      <c r="F981" s="230"/>
      <c r="G981" s="230"/>
      <c r="H981" s="231"/>
      <c r="I981" s="231"/>
      <c r="J981" s="231"/>
      <c r="K981" s="231"/>
      <c r="L981" s="232"/>
      <c r="M981" s="231"/>
      <c r="N981" s="232"/>
    </row>
    <row r="982" spans="2:14" s="228" customFormat="1" x14ac:dyDescent="0.2">
      <c r="B982" s="229"/>
      <c r="C982" s="230"/>
      <c r="D982" s="230"/>
      <c r="E982" s="230"/>
      <c r="F982" s="230"/>
      <c r="G982" s="230"/>
      <c r="H982" s="231"/>
      <c r="I982" s="231"/>
      <c r="J982" s="231"/>
      <c r="K982" s="231"/>
      <c r="L982" s="232"/>
      <c r="M982" s="231"/>
      <c r="N982" s="232"/>
    </row>
    <row r="983" spans="2:14" s="228" customFormat="1" x14ac:dyDescent="0.2">
      <c r="B983" s="229"/>
      <c r="C983" s="230"/>
      <c r="D983" s="230"/>
      <c r="E983" s="230"/>
      <c r="F983" s="230"/>
      <c r="G983" s="230"/>
      <c r="H983" s="231"/>
      <c r="I983" s="231"/>
      <c r="J983" s="231"/>
      <c r="K983" s="231"/>
      <c r="L983" s="232"/>
      <c r="M983" s="231"/>
      <c r="N983" s="232"/>
    </row>
    <row r="984" spans="2:14" s="228" customFormat="1" x14ac:dyDescent="0.2">
      <c r="B984" s="229"/>
      <c r="C984" s="230"/>
      <c r="D984" s="230"/>
      <c r="E984" s="230"/>
      <c r="F984" s="230"/>
      <c r="G984" s="230"/>
      <c r="H984" s="231"/>
      <c r="I984" s="231"/>
      <c r="J984" s="231"/>
      <c r="K984" s="231"/>
      <c r="L984" s="232"/>
      <c r="M984" s="231"/>
      <c r="N984" s="232"/>
    </row>
    <row r="985" spans="2:14" s="228" customFormat="1" x14ac:dyDescent="0.2">
      <c r="B985" s="229"/>
      <c r="C985" s="230"/>
      <c r="D985" s="230"/>
      <c r="E985" s="230"/>
      <c r="F985" s="230"/>
      <c r="G985" s="230"/>
      <c r="H985" s="231"/>
      <c r="I985" s="231"/>
      <c r="J985" s="231"/>
      <c r="K985" s="231"/>
      <c r="L985" s="232"/>
      <c r="M985" s="231"/>
      <c r="N985" s="232"/>
    </row>
    <row r="986" spans="2:14" s="228" customFormat="1" x14ac:dyDescent="0.2">
      <c r="B986" s="229"/>
      <c r="C986" s="230"/>
      <c r="D986" s="230"/>
      <c r="E986" s="230"/>
      <c r="F986" s="230"/>
      <c r="G986" s="230"/>
      <c r="H986" s="231"/>
      <c r="I986" s="231"/>
      <c r="J986" s="231"/>
      <c r="K986" s="231"/>
      <c r="L986" s="232"/>
      <c r="M986" s="231"/>
      <c r="N986" s="232"/>
    </row>
    <row r="987" spans="2:14" s="228" customFormat="1" x14ac:dyDescent="0.2">
      <c r="B987" s="229"/>
      <c r="C987" s="230"/>
      <c r="D987" s="230"/>
      <c r="E987" s="230"/>
      <c r="F987" s="230"/>
      <c r="G987" s="230"/>
      <c r="H987" s="231"/>
      <c r="I987" s="231"/>
      <c r="J987" s="231"/>
      <c r="K987" s="231"/>
      <c r="L987" s="232"/>
      <c r="M987" s="231"/>
      <c r="N987" s="232"/>
    </row>
    <row r="988" spans="2:14" s="228" customFormat="1" x14ac:dyDescent="0.2">
      <c r="B988" s="229"/>
      <c r="C988" s="230"/>
      <c r="D988" s="230"/>
      <c r="E988" s="230"/>
      <c r="F988" s="230"/>
      <c r="G988" s="230"/>
      <c r="H988" s="231"/>
      <c r="I988" s="231"/>
      <c r="J988" s="231"/>
      <c r="K988" s="231"/>
      <c r="L988" s="232"/>
      <c r="M988" s="231"/>
      <c r="N988" s="232"/>
    </row>
    <row r="989" spans="2:14" s="228" customFormat="1" x14ac:dyDescent="0.2">
      <c r="B989" s="229"/>
      <c r="C989" s="230"/>
      <c r="D989" s="230"/>
      <c r="E989" s="230"/>
      <c r="F989" s="230"/>
      <c r="G989" s="230"/>
      <c r="H989" s="231"/>
      <c r="I989" s="231"/>
      <c r="J989" s="231"/>
      <c r="K989" s="231"/>
      <c r="L989" s="232"/>
      <c r="M989" s="231"/>
      <c r="N989" s="232"/>
    </row>
    <row r="990" spans="2:14" s="228" customFormat="1" x14ac:dyDescent="0.2">
      <c r="B990" s="229"/>
      <c r="C990" s="230"/>
      <c r="D990" s="230"/>
      <c r="E990" s="230"/>
      <c r="F990" s="230"/>
      <c r="G990" s="230"/>
      <c r="H990" s="231"/>
      <c r="I990" s="231"/>
      <c r="J990" s="231"/>
      <c r="K990" s="231"/>
      <c r="L990" s="232"/>
      <c r="M990" s="231"/>
      <c r="N990" s="232"/>
    </row>
    <row r="991" spans="2:14" s="228" customFormat="1" x14ac:dyDescent="0.2">
      <c r="B991" s="229"/>
      <c r="C991" s="230"/>
      <c r="D991" s="230"/>
      <c r="E991" s="230"/>
      <c r="F991" s="230"/>
      <c r="G991" s="230"/>
      <c r="H991" s="231"/>
      <c r="I991" s="231"/>
      <c r="J991" s="231"/>
      <c r="K991" s="231"/>
      <c r="L991" s="232"/>
      <c r="M991" s="231"/>
      <c r="N991" s="232"/>
    </row>
    <row r="992" spans="2:14" s="228" customFormat="1" x14ac:dyDescent="0.2">
      <c r="B992" s="229"/>
      <c r="C992" s="230"/>
      <c r="D992" s="230"/>
      <c r="E992" s="230"/>
      <c r="F992" s="230"/>
      <c r="G992" s="230"/>
      <c r="H992" s="231"/>
      <c r="I992" s="231"/>
      <c r="J992" s="231"/>
      <c r="K992" s="231"/>
      <c r="L992" s="232"/>
      <c r="M992" s="231"/>
      <c r="N992" s="232"/>
    </row>
    <row r="993" spans="2:14" s="228" customFormat="1" x14ac:dyDescent="0.2">
      <c r="B993" s="229"/>
      <c r="C993" s="230"/>
      <c r="D993" s="230"/>
      <c r="E993" s="230"/>
      <c r="F993" s="230"/>
      <c r="G993" s="230"/>
      <c r="H993" s="231"/>
      <c r="I993" s="231"/>
      <c r="J993" s="231"/>
      <c r="K993" s="231"/>
      <c r="L993" s="232"/>
      <c r="M993" s="231"/>
      <c r="N993" s="232"/>
    </row>
    <row r="994" spans="2:14" s="228" customFormat="1" x14ac:dyDescent="0.2">
      <c r="B994" s="229"/>
      <c r="C994" s="230"/>
      <c r="D994" s="230"/>
      <c r="E994" s="230"/>
      <c r="F994" s="230"/>
      <c r="G994" s="230"/>
      <c r="H994" s="231"/>
      <c r="I994" s="231"/>
      <c r="J994" s="231"/>
      <c r="K994" s="231"/>
      <c r="L994" s="232"/>
      <c r="M994" s="231"/>
      <c r="N994" s="232"/>
    </row>
    <row r="995" spans="2:14" s="228" customFormat="1" x14ac:dyDescent="0.2">
      <c r="B995" s="229"/>
      <c r="C995" s="230"/>
      <c r="D995" s="230"/>
      <c r="E995" s="230"/>
      <c r="F995" s="230"/>
      <c r="G995" s="230"/>
      <c r="H995" s="231"/>
      <c r="I995" s="231"/>
      <c r="J995" s="231"/>
      <c r="K995" s="231"/>
      <c r="L995" s="232"/>
      <c r="M995" s="231"/>
      <c r="N995" s="232"/>
    </row>
    <row r="996" spans="2:14" s="228" customFormat="1" x14ac:dyDescent="0.2">
      <c r="B996" s="229"/>
      <c r="C996" s="230"/>
      <c r="D996" s="230"/>
      <c r="E996" s="230"/>
      <c r="F996" s="230"/>
      <c r="G996" s="230"/>
      <c r="H996" s="231"/>
      <c r="I996" s="231"/>
      <c r="J996" s="231"/>
      <c r="K996" s="231"/>
      <c r="L996" s="232"/>
      <c r="M996" s="231"/>
      <c r="N996" s="232"/>
    </row>
    <row r="997" spans="2:14" s="228" customFormat="1" x14ac:dyDescent="0.2">
      <c r="B997" s="229"/>
      <c r="C997" s="230"/>
      <c r="D997" s="230"/>
      <c r="E997" s="230"/>
      <c r="F997" s="230"/>
      <c r="G997" s="230"/>
      <c r="H997" s="231"/>
      <c r="I997" s="231"/>
      <c r="J997" s="231"/>
      <c r="K997" s="231"/>
      <c r="L997" s="232"/>
      <c r="M997" s="231"/>
      <c r="N997" s="232"/>
    </row>
  </sheetData>
  <mergeCells count="2">
    <mergeCell ref="C26:J26"/>
    <mergeCell ref="C445:J4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28CC-E90A-4837-BC9E-0CC9C07EEFC6}">
  <dimension ref="B1:F41"/>
  <sheetViews>
    <sheetView showGridLines="0" workbookViewId="0">
      <selection activeCell="D3" sqref="D3"/>
    </sheetView>
  </sheetViews>
  <sheetFormatPr defaultColWidth="9.28515625" defaultRowHeight="12.75" x14ac:dyDescent="0.2"/>
  <cols>
    <col min="1" max="1" width="9.28515625" style="337"/>
    <col min="2" max="2" width="12.7109375" style="337" bestFit="1" customWidth="1"/>
    <col min="3" max="3" width="10.5703125" style="337" bestFit="1" customWidth="1"/>
    <col min="4" max="4" width="10.28515625" style="337" bestFit="1" customWidth="1"/>
    <col min="5" max="6" width="9.85546875" style="337" bestFit="1" customWidth="1"/>
    <col min="7" max="16384" width="9.28515625" style="337"/>
  </cols>
  <sheetData>
    <row r="1" spans="2:6" x14ac:dyDescent="0.2">
      <c r="B1" s="337" t="s">
        <v>327</v>
      </c>
      <c r="D1" s="337" t="s">
        <v>328</v>
      </c>
      <c r="E1" s="337" t="s">
        <v>329</v>
      </c>
      <c r="F1" s="337" t="s">
        <v>330</v>
      </c>
    </row>
    <row r="2" spans="2:6" x14ac:dyDescent="0.2">
      <c r="B2" s="335">
        <f>+'Rent roll and financial info'!C22</f>
        <v>977600000</v>
      </c>
      <c r="C2" s="400">
        <v>46844</v>
      </c>
      <c r="D2" s="335">
        <f>+'Rent roll and financial info'!C22*'Rent roll and financial info'!C24/4</f>
        <v>2444000</v>
      </c>
      <c r="E2" s="335">
        <f>+B2*'Rent roll and financial info'!$C$23/4</f>
        <v>8798400.0000000019</v>
      </c>
    </row>
    <row r="3" spans="2:6" x14ac:dyDescent="0.2">
      <c r="B3" s="335">
        <f>+B2-D2</f>
        <v>975156000</v>
      </c>
      <c r="C3" s="400">
        <f>+EDATE(C2,3)</f>
        <v>46935</v>
      </c>
      <c r="D3" s="335">
        <f>+D2</f>
        <v>2444000</v>
      </c>
      <c r="E3" s="335">
        <f>+B3*'Rent roll and financial info'!$C$23/4</f>
        <v>8776404.0000000019</v>
      </c>
    </row>
    <row r="4" spans="2:6" x14ac:dyDescent="0.2">
      <c r="B4" s="335">
        <f t="shared" ref="B4:B41" si="0">+B3-D3</f>
        <v>972712000</v>
      </c>
      <c r="C4" s="400">
        <f t="shared" ref="C4:C41" si="1">+EDATE(C3,3)</f>
        <v>47027</v>
      </c>
      <c r="D4" s="335">
        <f t="shared" ref="D4:D41" si="2">+D3</f>
        <v>2444000</v>
      </c>
      <c r="E4" s="335">
        <f>+B4*'Rent roll and financial info'!$C$23/4</f>
        <v>8754408.0000000019</v>
      </c>
    </row>
    <row r="5" spans="2:6" x14ac:dyDescent="0.2">
      <c r="B5" s="335">
        <f t="shared" si="0"/>
        <v>970268000</v>
      </c>
      <c r="C5" s="400">
        <f t="shared" si="1"/>
        <v>47119</v>
      </c>
      <c r="D5" s="335">
        <f t="shared" si="2"/>
        <v>2444000</v>
      </c>
      <c r="E5" s="335">
        <f>+B5*'Rent roll and financial info'!$C$23/4</f>
        <v>8732412.0000000019</v>
      </c>
      <c r="F5" s="335">
        <f>+SUM(E2:E5)</f>
        <v>35061624.000000007</v>
      </c>
    </row>
    <row r="6" spans="2:6" x14ac:dyDescent="0.2">
      <c r="B6" s="335">
        <f t="shared" si="0"/>
        <v>967824000</v>
      </c>
      <c r="C6" s="400">
        <f t="shared" si="1"/>
        <v>47209</v>
      </c>
      <c r="D6" s="335">
        <f t="shared" si="2"/>
        <v>2444000</v>
      </c>
      <c r="E6" s="335">
        <f>+B6*'Rent roll and financial info'!$C$23/4</f>
        <v>8710416.0000000019</v>
      </c>
    </row>
    <row r="7" spans="2:6" x14ac:dyDescent="0.2">
      <c r="B7" s="335">
        <f t="shared" si="0"/>
        <v>965380000</v>
      </c>
      <c r="C7" s="400">
        <f t="shared" si="1"/>
        <v>47300</v>
      </c>
      <c r="D7" s="335">
        <f t="shared" si="2"/>
        <v>2444000</v>
      </c>
      <c r="E7" s="335">
        <f>+B7*'Rent roll and financial info'!$C$23/4</f>
        <v>8688420.0000000019</v>
      </c>
    </row>
    <row r="8" spans="2:6" x14ac:dyDescent="0.2">
      <c r="B8" s="335">
        <f t="shared" si="0"/>
        <v>962936000</v>
      </c>
      <c r="C8" s="400">
        <f t="shared" si="1"/>
        <v>47392</v>
      </c>
      <c r="D8" s="335">
        <f t="shared" si="2"/>
        <v>2444000</v>
      </c>
      <c r="E8" s="335">
        <f>+B8*'Rent roll and financial info'!$C$23/4</f>
        <v>8666424.0000000019</v>
      </c>
    </row>
    <row r="9" spans="2:6" x14ac:dyDescent="0.2">
      <c r="B9" s="335">
        <f t="shared" si="0"/>
        <v>960492000</v>
      </c>
      <c r="C9" s="400">
        <f t="shared" si="1"/>
        <v>47484</v>
      </c>
      <c r="D9" s="335">
        <f t="shared" si="2"/>
        <v>2444000</v>
      </c>
      <c r="E9" s="335">
        <f>+B9*'Rent roll and financial info'!$C$23/4</f>
        <v>8644428.0000000019</v>
      </c>
      <c r="F9" s="335">
        <f>+SUM(E6:E9)</f>
        <v>34709688.000000007</v>
      </c>
    </row>
    <row r="10" spans="2:6" x14ac:dyDescent="0.2">
      <c r="B10" s="335">
        <f t="shared" si="0"/>
        <v>958048000</v>
      </c>
      <c r="C10" s="400">
        <f t="shared" si="1"/>
        <v>47574</v>
      </c>
      <c r="D10" s="335">
        <f t="shared" si="2"/>
        <v>2444000</v>
      </c>
      <c r="E10" s="335">
        <f>+B10*'Rent roll and financial info'!$C$23/4</f>
        <v>8622432.0000000019</v>
      </c>
    </row>
    <row r="11" spans="2:6" x14ac:dyDescent="0.2">
      <c r="B11" s="335">
        <f t="shared" si="0"/>
        <v>955604000</v>
      </c>
      <c r="C11" s="400">
        <f t="shared" si="1"/>
        <v>47665</v>
      </c>
      <c r="D11" s="335">
        <f t="shared" si="2"/>
        <v>2444000</v>
      </c>
      <c r="E11" s="335">
        <f>+B11*'Rent roll and financial info'!$C$23/4</f>
        <v>8600436.0000000019</v>
      </c>
    </row>
    <row r="12" spans="2:6" x14ac:dyDescent="0.2">
      <c r="B12" s="335">
        <f t="shared" si="0"/>
        <v>953160000</v>
      </c>
      <c r="C12" s="400">
        <f t="shared" si="1"/>
        <v>47757</v>
      </c>
      <c r="D12" s="335">
        <f t="shared" si="2"/>
        <v>2444000</v>
      </c>
      <c r="E12" s="335">
        <f>+B12*'Rent roll and financial info'!$C$23/4</f>
        <v>8578440.0000000019</v>
      </c>
    </row>
    <row r="13" spans="2:6" x14ac:dyDescent="0.2">
      <c r="B13" s="335">
        <f t="shared" si="0"/>
        <v>950716000</v>
      </c>
      <c r="C13" s="400">
        <f t="shared" si="1"/>
        <v>47849</v>
      </c>
      <c r="D13" s="335">
        <f t="shared" si="2"/>
        <v>2444000</v>
      </c>
      <c r="E13" s="335">
        <f>+B13*'Rent roll and financial info'!$C$23/4</f>
        <v>8556444.0000000019</v>
      </c>
      <c r="F13" s="335">
        <f>+SUM(E10:E13)</f>
        <v>34357752.000000007</v>
      </c>
    </row>
    <row r="14" spans="2:6" x14ac:dyDescent="0.2">
      <c r="B14" s="335">
        <f t="shared" si="0"/>
        <v>948272000</v>
      </c>
      <c r="C14" s="400">
        <f t="shared" si="1"/>
        <v>47939</v>
      </c>
      <c r="D14" s="335">
        <f t="shared" si="2"/>
        <v>2444000</v>
      </c>
      <c r="E14" s="335">
        <f>+B14*'Rent roll and financial info'!$C$23/4</f>
        <v>8534448.0000000019</v>
      </c>
    </row>
    <row r="15" spans="2:6" x14ac:dyDescent="0.2">
      <c r="B15" s="335">
        <f t="shared" si="0"/>
        <v>945828000</v>
      </c>
      <c r="C15" s="400">
        <f t="shared" si="1"/>
        <v>48030</v>
      </c>
      <c r="D15" s="335">
        <f t="shared" si="2"/>
        <v>2444000</v>
      </c>
      <c r="E15" s="335">
        <f>+B15*'Rent roll and financial info'!$C$23/4</f>
        <v>8512452.0000000019</v>
      </c>
    </row>
    <row r="16" spans="2:6" x14ac:dyDescent="0.2">
      <c r="B16" s="335">
        <f t="shared" si="0"/>
        <v>943384000</v>
      </c>
      <c r="C16" s="400">
        <f t="shared" si="1"/>
        <v>48122</v>
      </c>
      <c r="D16" s="335">
        <f t="shared" si="2"/>
        <v>2444000</v>
      </c>
      <c r="E16" s="335">
        <f>+B16*'Rent roll and financial info'!$C$23/4</f>
        <v>8490456.0000000019</v>
      </c>
    </row>
    <row r="17" spans="2:6" x14ac:dyDescent="0.2">
      <c r="B17" s="335">
        <f t="shared" si="0"/>
        <v>940940000</v>
      </c>
      <c r="C17" s="400">
        <f t="shared" si="1"/>
        <v>48214</v>
      </c>
      <c r="D17" s="335">
        <f t="shared" si="2"/>
        <v>2444000</v>
      </c>
      <c r="E17" s="335">
        <f>+B17*'Rent roll and financial info'!$C$23/4</f>
        <v>8468460.0000000019</v>
      </c>
      <c r="F17" s="335">
        <f>+SUM(E14:E17)</f>
        <v>34005816.000000007</v>
      </c>
    </row>
    <row r="18" spans="2:6" x14ac:dyDescent="0.2">
      <c r="B18" s="335">
        <f t="shared" si="0"/>
        <v>938496000</v>
      </c>
      <c r="C18" s="400">
        <f t="shared" si="1"/>
        <v>48305</v>
      </c>
      <c r="D18" s="335">
        <f t="shared" si="2"/>
        <v>2444000</v>
      </c>
      <c r="E18" s="335">
        <f>+B18*'Rent roll and financial info'!$C$23/4</f>
        <v>8446464.0000000019</v>
      </c>
    </row>
    <row r="19" spans="2:6" x14ac:dyDescent="0.2">
      <c r="B19" s="335">
        <f t="shared" si="0"/>
        <v>936052000</v>
      </c>
      <c r="C19" s="400">
        <f t="shared" si="1"/>
        <v>48396</v>
      </c>
      <c r="D19" s="335">
        <f t="shared" si="2"/>
        <v>2444000</v>
      </c>
      <c r="E19" s="335">
        <f>+B19*'Rent roll and financial info'!$C$23/4</f>
        <v>8424468.0000000019</v>
      </c>
    </row>
    <row r="20" spans="2:6" x14ac:dyDescent="0.2">
      <c r="B20" s="335">
        <f t="shared" si="0"/>
        <v>933608000</v>
      </c>
      <c r="C20" s="400">
        <f t="shared" si="1"/>
        <v>48488</v>
      </c>
      <c r="D20" s="335">
        <f t="shared" si="2"/>
        <v>2444000</v>
      </c>
      <c r="E20" s="335">
        <f>+B20*'Rent roll and financial info'!$C$23/4</f>
        <v>8402472.0000000019</v>
      </c>
    </row>
    <row r="21" spans="2:6" x14ac:dyDescent="0.2">
      <c r="B21" s="335">
        <f t="shared" si="0"/>
        <v>931164000</v>
      </c>
      <c r="C21" s="400">
        <f t="shared" si="1"/>
        <v>48580</v>
      </c>
      <c r="D21" s="335">
        <f t="shared" si="2"/>
        <v>2444000</v>
      </c>
      <c r="E21" s="335">
        <f>+B21*'Rent roll and financial info'!$C$23/4</f>
        <v>8380476.0000000009</v>
      </c>
      <c r="F21" s="335">
        <f>+SUM(E18:E21)</f>
        <v>33653880.000000007</v>
      </c>
    </row>
    <row r="22" spans="2:6" x14ac:dyDescent="0.2">
      <c r="B22" s="335">
        <f t="shared" si="0"/>
        <v>928720000</v>
      </c>
      <c r="C22" s="400">
        <f t="shared" si="1"/>
        <v>48670</v>
      </c>
      <c r="D22" s="335">
        <f t="shared" si="2"/>
        <v>2444000</v>
      </c>
      <c r="E22" s="335">
        <f>+B22*'Rent roll and financial info'!$C$23/4</f>
        <v>8358480.0000000009</v>
      </c>
    </row>
    <row r="23" spans="2:6" x14ac:dyDescent="0.2">
      <c r="B23" s="335">
        <f t="shared" si="0"/>
        <v>926276000</v>
      </c>
      <c r="C23" s="400">
        <f t="shared" si="1"/>
        <v>48761</v>
      </c>
      <c r="D23" s="335">
        <f t="shared" si="2"/>
        <v>2444000</v>
      </c>
      <c r="E23" s="335">
        <f>+B23*'Rent roll and financial info'!$C$23/4</f>
        <v>8336484.0000000009</v>
      </c>
    </row>
    <row r="24" spans="2:6" x14ac:dyDescent="0.2">
      <c r="B24" s="335">
        <f t="shared" si="0"/>
        <v>923832000</v>
      </c>
      <c r="C24" s="400">
        <f t="shared" si="1"/>
        <v>48853</v>
      </c>
      <c r="D24" s="335">
        <f t="shared" si="2"/>
        <v>2444000</v>
      </c>
      <c r="E24" s="335">
        <f>+B24*'Rent roll and financial info'!$C$23/4</f>
        <v>8314488.0000000009</v>
      </c>
    </row>
    <row r="25" spans="2:6" x14ac:dyDescent="0.2">
      <c r="B25" s="335">
        <f t="shared" si="0"/>
        <v>921388000</v>
      </c>
      <c r="C25" s="400">
        <f t="shared" si="1"/>
        <v>48945</v>
      </c>
      <c r="D25" s="335">
        <f t="shared" si="2"/>
        <v>2444000</v>
      </c>
      <c r="E25" s="335">
        <f>+B25*'Rent roll and financial info'!$C$23/4</f>
        <v>8292492.0000000009</v>
      </c>
      <c r="F25" s="335">
        <f>+SUM(E22:E25)</f>
        <v>33301944.000000004</v>
      </c>
    </row>
    <row r="26" spans="2:6" x14ac:dyDescent="0.2">
      <c r="B26" s="335">
        <f t="shared" si="0"/>
        <v>918944000</v>
      </c>
      <c r="C26" s="400">
        <f t="shared" si="1"/>
        <v>49035</v>
      </c>
      <c r="D26" s="335">
        <f t="shared" si="2"/>
        <v>2444000</v>
      </c>
      <c r="E26" s="335">
        <f>+B26*'Rent roll and financial info'!$C$23/4</f>
        <v>8270496.0000000009</v>
      </c>
    </row>
    <row r="27" spans="2:6" x14ac:dyDescent="0.2">
      <c r="B27" s="335">
        <f t="shared" si="0"/>
        <v>916500000</v>
      </c>
      <c r="C27" s="400">
        <f t="shared" si="1"/>
        <v>49126</v>
      </c>
      <c r="D27" s="335">
        <f t="shared" si="2"/>
        <v>2444000</v>
      </c>
      <c r="E27" s="335">
        <f>+B27*'Rent roll and financial info'!$C$23/4</f>
        <v>8248500.0000000009</v>
      </c>
    </row>
    <row r="28" spans="2:6" x14ac:dyDescent="0.2">
      <c r="B28" s="335">
        <f t="shared" si="0"/>
        <v>914056000</v>
      </c>
      <c r="C28" s="400">
        <f t="shared" si="1"/>
        <v>49218</v>
      </c>
      <c r="D28" s="335">
        <f t="shared" si="2"/>
        <v>2444000</v>
      </c>
      <c r="E28" s="335">
        <f>+B28*'Rent roll and financial info'!$C$23/4</f>
        <v>8226504.0000000009</v>
      </c>
    </row>
    <row r="29" spans="2:6" x14ac:dyDescent="0.2">
      <c r="B29" s="335">
        <f t="shared" si="0"/>
        <v>911612000</v>
      </c>
      <c r="C29" s="400">
        <f t="shared" si="1"/>
        <v>49310</v>
      </c>
      <c r="D29" s="335">
        <f t="shared" si="2"/>
        <v>2444000</v>
      </c>
      <c r="E29" s="335">
        <f>+B29*'Rent roll and financial info'!$C$23/4</f>
        <v>8204508.0000000009</v>
      </c>
      <c r="F29" s="335">
        <f>+SUM(E26:E29)</f>
        <v>32950008.000000004</v>
      </c>
    </row>
    <row r="30" spans="2:6" x14ac:dyDescent="0.2">
      <c r="B30" s="335">
        <f t="shared" si="0"/>
        <v>909168000</v>
      </c>
      <c r="C30" s="400">
        <f t="shared" si="1"/>
        <v>49400</v>
      </c>
      <c r="D30" s="335">
        <f t="shared" si="2"/>
        <v>2444000</v>
      </c>
      <c r="E30" s="335">
        <f>+B30*'Rent roll and financial info'!$C$23/4</f>
        <v>8182512.0000000009</v>
      </c>
    </row>
    <row r="31" spans="2:6" x14ac:dyDescent="0.2">
      <c r="B31" s="335">
        <f t="shared" si="0"/>
        <v>906724000</v>
      </c>
      <c r="C31" s="400">
        <f t="shared" si="1"/>
        <v>49491</v>
      </c>
      <c r="D31" s="335">
        <f t="shared" si="2"/>
        <v>2444000</v>
      </c>
      <c r="E31" s="335">
        <f>+B31*'Rent roll and financial info'!$C$23/4</f>
        <v>8160516.0000000009</v>
      </c>
    </row>
    <row r="32" spans="2:6" x14ac:dyDescent="0.2">
      <c r="B32" s="335">
        <f t="shared" si="0"/>
        <v>904280000</v>
      </c>
      <c r="C32" s="400">
        <f t="shared" si="1"/>
        <v>49583</v>
      </c>
      <c r="D32" s="335">
        <f t="shared" si="2"/>
        <v>2444000</v>
      </c>
      <c r="E32" s="335">
        <f>+B32*'Rent roll and financial info'!$C$23/4</f>
        <v>8138520.0000000009</v>
      </c>
    </row>
    <row r="33" spans="2:6" x14ac:dyDescent="0.2">
      <c r="B33" s="335">
        <f t="shared" si="0"/>
        <v>901836000</v>
      </c>
      <c r="C33" s="400">
        <f t="shared" si="1"/>
        <v>49675</v>
      </c>
      <c r="D33" s="335">
        <f t="shared" si="2"/>
        <v>2444000</v>
      </c>
      <c r="E33" s="335">
        <f>+B33*'Rent roll and financial info'!$C$23/4</f>
        <v>8116524.0000000009</v>
      </c>
      <c r="F33" s="335">
        <f>+SUM(E30:E33)</f>
        <v>32598072.000000004</v>
      </c>
    </row>
    <row r="34" spans="2:6" x14ac:dyDescent="0.2">
      <c r="B34" s="335">
        <f t="shared" si="0"/>
        <v>899392000</v>
      </c>
      <c r="C34" s="400">
        <f t="shared" si="1"/>
        <v>49766</v>
      </c>
      <c r="D34" s="335">
        <f t="shared" si="2"/>
        <v>2444000</v>
      </c>
      <c r="E34" s="335">
        <f>+B34*'Rent roll and financial info'!$C$23/4</f>
        <v>8094528.0000000009</v>
      </c>
    </row>
    <row r="35" spans="2:6" x14ac:dyDescent="0.2">
      <c r="B35" s="335">
        <f t="shared" si="0"/>
        <v>896948000</v>
      </c>
      <c r="C35" s="400">
        <f t="shared" si="1"/>
        <v>49857</v>
      </c>
      <c r="D35" s="335">
        <f t="shared" si="2"/>
        <v>2444000</v>
      </c>
      <c r="E35" s="335">
        <f>+B35*'Rent roll and financial info'!$C$23/4</f>
        <v>8072532.0000000009</v>
      </c>
    </row>
    <row r="36" spans="2:6" x14ac:dyDescent="0.2">
      <c r="B36" s="335">
        <f t="shared" si="0"/>
        <v>894504000</v>
      </c>
      <c r="C36" s="400">
        <f t="shared" si="1"/>
        <v>49949</v>
      </c>
      <c r="D36" s="335">
        <f t="shared" si="2"/>
        <v>2444000</v>
      </c>
      <c r="E36" s="335">
        <f>+B36*'Rent roll and financial info'!$C$23/4</f>
        <v>8050536.0000000009</v>
      </c>
    </row>
    <row r="37" spans="2:6" x14ac:dyDescent="0.2">
      <c r="B37" s="335">
        <f t="shared" si="0"/>
        <v>892060000</v>
      </c>
      <c r="C37" s="400">
        <f t="shared" si="1"/>
        <v>50041</v>
      </c>
      <c r="D37" s="335">
        <f t="shared" si="2"/>
        <v>2444000</v>
      </c>
      <c r="E37" s="335">
        <f>+B37*'Rent roll and financial info'!$C$23/4</f>
        <v>8028540.0000000009</v>
      </c>
      <c r="F37" s="335">
        <f>+SUM(E34:E37)</f>
        <v>32246136.000000004</v>
      </c>
    </row>
    <row r="38" spans="2:6" x14ac:dyDescent="0.2">
      <c r="B38" s="335">
        <f t="shared" si="0"/>
        <v>889616000</v>
      </c>
      <c r="C38" s="400">
        <f t="shared" si="1"/>
        <v>50131</v>
      </c>
      <c r="D38" s="335">
        <f t="shared" si="2"/>
        <v>2444000</v>
      </c>
      <c r="E38" s="335">
        <f>+B38*'Rent roll and financial info'!$C$23/4</f>
        <v>8006544.0000000009</v>
      </c>
    </row>
    <row r="39" spans="2:6" x14ac:dyDescent="0.2">
      <c r="B39" s="335">
        <f t="shared" si="0"/>
        <v>887172000</v>
      </c>
      <c r="C39" s="400">
        <f t="shared" si="1"/>
        <v>50222</v>
      </c>
      <c r="D39" s="335">
        <f t="shared" si="2"/>
        <v>2444000</v>
      </c>
      <c r="E39" s="335">
        <f>+B39*'Rent roll and financial info'!$C$23/4</f>
        <v>7984548.0000000009</v>
      </c>
    </row>
    <row r="40" spans="2:6" x14ac:dyDescent="0.2">
      <c r="B40" s="335">
        <f t="shared" si="0"/>
        <v>884728000</v>
      </c>
      <c r="C40" s="400">
        <f t="shared" si="1"/>
        <v>50314</v>
      </c>
      <c r="D40" s="335">
        <f t="shared" si="2"/>
        <v>2444000</v>
      </c>
      <c r="E40" s="335">
        <f>+B40*'Rent roll and financial info'!$C$23/4</f>
        <v>7962552.0000000009</v>
      </c>
    </row>
    <row r="41" spans="2:6" x14ac:dyDescent="0.2">
      <c r="B41" s="335">
        <f t="shared" si="0"/>
        <v>882284000</v>
      </c>
      <c r="C41" s="400">
        <f t="shared" si="1"/>
        <v>50406</v>
      </c>
      <c r="D41" s="335">
        <f t="shared" si="2"/>
        <v>2444000</v>
      </c>
      <c r="E41" s="335">
        <f>+B41*'Rent roll and financial info'!$C$23/4</f>
        <v>7940556.0000000009</v>
      </c>
      <c r="F41" s="335">
        <f>+SUM(E38:E41)</f>
        <v>31894200.000000004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6100-0214-4ED0-BB37-5563FAB0B7FF}">
  <dimension ref="B3:S57"/>
  <sheetViews>
    <sheetView zoomScaleNormal="100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X11" sqref="X11"/>
    </sheetView>
  </sheetViews>
  <sheetFormatPr defaultRowHeight="12.75" x14ac:dyDescent="0.2"/>
  <cols>
    <col min="1" max="1" width="2.5703125" customWidth="1"/>
    <col min="2" max="2" width="41.5703125" customWidth="1"/>
    <col min="3" max="19" width="12.5703125" customWidth="1"/>
    <col min="20" max="20" width="12.5703125" bestFit="1" customWidth="1"/>
    <col min="21" max="21" width="12.42578125" bestFit="1" customWidth="1"/>
  </cols>
  <sheetData>
    <row r="3" spans="2:19" x14ac:dyDescent="0.2">
      <c r="B3" s="107" t="s">
        <v>0</v>
      </c>
      <c r="C3" s="107"/>
      <c r="D3" s="106" t="s">
        <v>1</v>
      </c>
      <c r="E3" s="105" t="s">
        <v>2</v>
      </c>
      <c r="F3" s="105"/>
      <c r="G3" s="108"/>
      <c r="H3" s="105" t="s">
        <v>2</v>
      </c>
      <c r="I3" s="108"/>
      <c r="J3" s="109" t="s">
        <v>2</v>
      </c>
      <c r="K3" s="105" t="s">
        <v>3</v>
      </c>
      <c r="L3" s="108"/>
      <c r="M3" s="109" t="s">
        <v>3</v>
      </c>
      <c r="N3" s="109" t="s">
        <v>3</v>
      </c>
      <c r="O3" s="109">
        <v>2026</v>
      </c>
      <c r="P3" s="110" t="s">
        <v>3</v>
      </c>
      <c r="Q3" s="111"/>
      <c r="R3" s="111"/>
      <c r="S3" s="133" t="s">
        <v>2</v>
      </c>
    </row>
    <row r="4" spans="2:19" x14ac:dyDescent="0.2">
      <c r="B4" s="97"/>
      <c r="C4" s="98" t="s">
        <v>4</v>
      </c>
      <c r="D4" s="98" t="s">
        <v>5</v>
      </c>
      <c r="E4" s="99" t="s">
        <v>6</v>
      </c>
      <c r="F4" s="100"/>
      <c r="G4" s="101"/>
      <c r="H4" s="99" t="s">
        <v>7</v>
      </c>
      <c r="I4" s="101"/>
      <c r="J4" s="98" t="s">
        <v>8</v>
      </c>
      <c r="K4" s="99" t="s">
        <v>9</v>
      </c>
      <c r="L4" s="101"/>
      <c r="M4" s="98" t="s">
        <v>10</v>
      </c>
      <c r="N4" s="98" t="s">
        <v>11</v>
      </c>
      <c r="O4" s="98" t="s">
        <v>12</v>
      </c>
      <c r="P4" s="99" t="s">
        <v>13</v>
      </c>
      <c r="Q4" s="100"/>
      <c r="R4" s="100"/>
      <c r="S4" s="98" t="s">
        <v>14</v>
      </c>
    </row>
    <row r="5" spans="2:19" x14ac:dyDescent="0.2">
      <c r="B5" s="86" t="s">
        <v>15</v>
      </c>
      <c r="C5" s="93" t="s">
        <v>16</v>
      </c>
      <c r="D5" s="94" t="s">
        <v>17</v>
      </c>
      <c r="E5" s="95" t="s">
        <v>18</v>
      </c>
      <c r="F5" s="95" t="s">
        <v>19</v>
      </c>
      <c r="G5" s="96" t="s">
        <v>20</v>
      </c>
      <c r="H5" s="95" t="s">
        <v>21</v>
      </c>
      <c r="I5" s="96" t="s">
        <v>22</v>
      </c>
      <c r="J5" s="87" t="s">
        <v>23</v>
      </c>
      <c r="K5" s="95" t="s">
        <v>24</v>
      </c>
      <c r="L5" s="96" t="s">
        <v>25</v>
      </c>
      <c r="M5" s="87" t="s">
        <v>26</v>
      </c>
      <c r="N5" s="94" t="s">
        <v>27</v>
      </c>
      <c r="O5" s="94" t="s">
        <v>28</v>
      </c>
      <c r="P5" s="95" t="s">
        <v>29</v>
      </c>
      <c r="Q5" s="95" t="s">
        <v>30</v>
      </c>
      <c r="R5" s="95" t="s">
        <v>31</v>
      </c>
      <c r="S5" s="94" t="s">
        <v>14</v>
      </c>
    </row>
    <row r="6" spans="2:19" x14ac:dyDescent="0.2">
      <c r="B6" s="76" t="s">
        <v>32</v>
      </c>
      <c r="C6" s="85">
        <f t="shared" ref="C6:C11" si="0">SUM(D6:S6)</f>
        <v>0</v>
      </c>
      <c r="D6" s="71"/>
      <c r="E6" s="70"/>
      <c r="F6" s="70"/>
      <c r="G6" s="69"/>
      <c r="H6" s="70"/>
      <c r="I6" s="69"/>
      <c r="J6" s="71"/>
      <c r="K6" s="70"/>
      <c r="L6" s="69"/>
      <c r="M6" s="71"/>
      <c r="N6" s="71"/>
      <c r="O6" s="71"/>
      <c r="P6" s="70"/>
      <c r="Q6" s="70"/>
      <c r="R6" s="70"/>
      <c r="S6" s="40"/>
    </row>
    <row r="7" spans="2:19" x14ac:dyDescent="0.2">
      <c r="B7" s="61" t="s">
        <v>33</v>
      </c>
      <c r="C7" s="85">
        <f t="shared" si="0"/>
        <v>57607.5</v>
      </c>
      <c r="D7" s="71">
        <v>5400</v>
      </c>
      <c r="E7" s="70">
        <v>4604</v>
      </c>
      <c r="F7" s="70">
        <v>12442.5</v>
      </c>
      <c r="G7" s="69">
        <f>1975+550</f>
        <v>2525</v>
      </c>
      <c r="H7" s="70">
        <v>3150</v>
      </c>
      <c r="I7" s="69">
        <v>6498</v>
      </c>
      <c r="J7" s="71">
        <v>840</v>
      </c>
      <c r="K7" s="70">
        <v>2940</v>
      </c>
      <c r="L7" s="69">
        <v>5408</v>
      </c>
      <c r="M7" s="71">
        <v>3500</v>
      </c>
      <c r="N7" s="71">
        <v>1950</v>
      </c>
      <c r="O7" s="71"/>
      <c r="P7" s="70">
        <v>3612.5</v>
      </c>
      <c r="Q7" s="70">
        <v>2650</v>
      </c>
      <c r="R7" s="70">
        <v>2087.5</v>
      </c>
      <c r="S7" s="40"/>
    </row>
    <row r="8" spans="2:19" x14ac:dyDescent="0.2">
      <c r="B8" s="61" t="s">
        <v>34</v>
      </c>
      <c r="C8" s="85">
        <f t="shared" si="0"/>
        <v>0</v>
      </c>
      <c r="D8" s="71"/>
      <c r="E8" s="70"/>
      <c r="F8" s="70"/>
      <c r="G8" s="69">
        <v>0</v>
      </c>
      <c r="H8" s="70"/>
      <c r="I8" s="69"/>
      <c r="J8" s="71">
        <v>0</v>
      </c>
      <c r="K8" s="70">
        <v>0</v>
      </c>
      <c r="L8" s="69"/>
      <c r="M8" s="71">
        <v>0</v>
      </c>
      <c r="N8" s="71">
        <v>0</v>
      </c>
      <c r="O8" s="71"/>
      <c r="P8" s="70"/>
      <c r="Q8" s="70"/>
      <c r="R8" s="70"/>
      <c r="S8" s="40"/>
    </row>
    <row r="9" spans="2:19" x14ac:dyDescent="0.2">
      <c r="B9" s="61" t="s">
        <v>35</v>
      </c>
      <c r="C9" s="85">
        <f t="shared" si="0"/>
        <v>0</v>
      </c>
      <c r="D9" s="71">
        <v>0</v>
      </c>
      <c r="E9" s="70"/>
      <c r="F9" s="70"/>
      <c r="G9" s="69"/>
      <c r="H9" s="70"/>
      <c r="I9" s="69"/>
      <c r="J9" s="71"/>
      <c r="K9" s="70"/>
      <c r="L9" s="69"/>
      <c r="M9" s="71"/>
      <c r="N9" s="71"/>
      <c r="O9" s="71"/>
      <c r="P9" s="70"/>
      <c r="Q9" s="70"/>
      <c r="R9" s="70"/>
      <c r="S9" s="40"/>
    </row>
    <row r="10" spans="2:19" x14ac:dyDescent="0.2">
      <c r="B10" s="61" t="s">
        <v>36</v>
      </c>
      <c r="C10" s="85">
        <f t="shared" si="0"/>
        <v>3505</v>
      </c>
      <c r="D10" s="71"/>
      <c r="E10" s="70">
        <v>700</v>
      </c>
      <c r="F10" s="70"/>
      <c r="G10" s="69"/>
      <c r="H10" s="70"/>
      <c r="I10" s="69">
        <v>410</v>
      </c>
      <c r="J10" s="71"/>
      <c r="K10" s="70"/>
      <c r="L10" s="69"/>
      <c r="M10" s="71"/>
      <c r="N10" s="71"/>
      <c r="O10" s="71">
        <v>890</v>
      </c>
      <c r="P10" s="70"/>
      <c r="Q10" s="70"/>
      <c r="R10" s="70">
        <v>205</v>
      </c>
      <c r="S10" s="71">
        <v>1300</v>
      </c>
    </row>
    <row r="11" spans="2:19" x14ac:dyDescent="0.2">
      <c r="B11" s="75" t="s">
        <v>37</v>
      </c>
      <c r="C11" s="68">
        <f t="shared" si="0"/>
        <v>5200</v>
      </c>
      <c r="D11" s="74"/>
      <c r="E11" s="73"/>
      <c r="F11" s="73"/>
      <c r="G11" s="72"/>
      <c r="H11" s="73"/>
      <c r="I11" s="72"/>
      <c r="J11" s="74"/>
      <c r="K11" s="73"/>
      <c r="L11" s="72"/>
      <c r="M11" s="74"/>
      <c r="N11" s="74"/>
      <c r="O11" s="74"/>
      <c r="P11" s="73"/>
      <c r="Q11" s="73"/>
      <c r="R11" s="73"/>
      <c r="S11" s="74">
        <v>5200</v>
      </c>
    </row>
    <row r="12" spans="2:19" x14ac:dyDescent="0.2">
      <c r="B12" s="77" t="s">
        <v>38</v>
      </c>
      <c r="C12" s="85">
        <f>SUM(C6:C11)</f>
        <v>66312.5</v>
      </c>
      <c r="D12" s="85">
        <f t="shared" ref="D12:S12" si="1">SUM(D6:D11)</f>
        <v>5400</v>
      </c>
      <c r="E12" s="66">
        <f t="shared" si="1"/>
        <v>5304</v>
      </c>
      <c r="F12" s="66">
        <f t="shared" si="1"/>
        <v>12442.5</v>
      </c>
      <c r="G12" s="67">
        <f t="shared" si="1"/>
        <v>2525</v>
      </c>
      <c r="H12" s="66">
        <f t="shared" si="1"/>
        <v>3150</v>
      </c>
      <c r="I12" s="67">
        <f t="shared" si="1"/>
        <v>6908</v>
      </c>
      <c r="J12" s="85">
        <f t="shared" si="1"/>
        <v>840</v>
      </c>
      <c r="K12" s="66">
        <f t="shared" si="1"/>
        <v>2940</v>
      </c>
      <c r="L12" s="67">
        <f t="shared" si="1"/>
        <v>5408</v>
      </c>
      <c r="M12" s="85">
        <f t="shared" si="1"/>
        <v>3500</v>
      </c>
      <c r="N12" s="85">
        <f t="shared" si="1"/>
        <v>1950</v>
      </c>
      <c r="O12" s="85">
        <f t="shared" si="1"/>
        <v>890</v>
      </c>
      <c r="P12" s="66">
        <f t="shared" si="1"/>
        <v>3612.5</v>
      </c>
      <c r="Q12" s="66">
        <f t="shared" si="1"/>
        <v>2650</v>
      </c>
      <c r="R12" s="66">
        <f t="shared" si="1"/>
        <v>2292.5</v>
      </c>
      <c r="S12" s="85">
        <f t="shared" si="1"/>
        <v>6500</v>
      </c>
    </row>
    <row r="13" spans="2:19" x14ac:dyDescent="0.2">
      <c r="B13" s="61"/>
      <c r="C13" s="36"/>
      <c r="D13" s="36"/>
      <c r="E13" s="46"/>
      <c r="F13" s="46"/>
      <c r="G13" s="62"/>
      <c r="H13" s="46"/>
      <c r="I13" s="62"/>
      <c r="J13" s="36"/>
      <c r="K13" s="46"/>
      <c r="L13" s="62"/>
      <c r="M13" s="36"/>
      <c r="N13" s="36"/>
      <c r="O13" s="36"/>
      <c r="P13" s="46"/>
      <c r="Q13" s="46"/>
      <c r="R13" s="46"/>
      <c r="S13" s="36"/>
    </row>
    <row r="14" spans="2:19" x14ac:dyDescent="0.2">
      <c r="B14" s="77" t="s">
        <v>39</v>
      </c>
      <c r="C14" s="85">
        <f>SUM(D14:S14)</f>
        <v>5100</v>
      </c>
      <c r="D14" s="71"/>
      <c r="E14" s="70"/>
      <c r="F14" s="70">
        <f>138*25</f>
        <v>3450</v>
      </c>
      <c r="G14" s="69"/>
      <c r="H14" s="70">
        <f>66*25</f>
        <v>1650</v>
      </c>
      <c r="I14" s="69"/>
      <c r="J14" s="71"/>
      <c r="K14" s="70"/>
      <c r="L14" s="69"/>
      <c r="M14" s="71"/>
      <c r="N14" s="71"/>
      <c r="O14" s="71"/>
      <c r="P14" s="70"/>
      <c r="Q14" s="70"/>
      <c r="R14" s="70"/>
      <c r="S14" s="71"/>
    </row>
    <row r="15" spans="2:19" x14ac:dyDescent="0.2">
      <c r="B15" s="61"/>
      <c r="C15" s="31"/>
      <c r="D15" s="31"/>
      <c r="G15" s="61"/>
      <c r="I15" s="61"/>
      <c r="J15" s="31"/>
      <c r="L15" s="61"/>
      <c r="M15" s="31"/>
      <c r="N15" s="31"/>
      <c r="O15" s="31"/>
      <c r="S15" s="31"/>
    </row>
    <row r="16" spans="2:19" x14ac:dyDescent="0.2">
      <c r="B16" s="88" t="s">
        <v>40</v>
      </c>
      <c r="C16" s="90"/>
      <c r="D16" s="90"/>
      <c r="E16" s="91"/>
      <c r="F16" s="91"/>
      <c r="G16" s="92"/>
      <c r="H16" s="91"/>
      <c r="I16" s="92"/>
      <c r="J16" s="90"/>
      <c r="K16" s="91"/>
      <c r="L16" s="92"/>
      <c r="M16" s="90"/>
      <c r="N16" s="90"/>
      <c r="O16" s="90"/>
      <c r="P16" s="91"/>
      <c r="Q16" s="91"/>
      <c r="R16" s="91"/>
      <c r="S16" s="90"/>
    </row>
    <row r="17" spans="2:19" x14ac:dyDescent="0.2">
      <c r="B17" s="61" t="s">
        <v>41</v>
      </c>
      <c r="C17" s="115">
        <f t="shared" ref="C17:C24" si="2">SUM(D17:S17)</f>
        <v>1430</v>
      </c>
      <c r="D17" s="143"/>
      <c r="E17" s="46"/>
      <c r="F17" s="46"/>
      <c r="G17" s="62"/>
      <c r="H17" s="46"/>
      <c r="I17" s="62"/>
      <c r="J17" s="36"/>
      <c r="K17" s="46"/>
      <c r="L17" s="62"/>
      <c r="M17" s="36"/>
      <c r="N17" s="36"/>
      <c r="O17" s="36">
        <f>'Hallunda Gård aggregated'!C31</f>
        <v>1430</v>
      </c>
      <c r="P17" s="46"/>
      <c r="Q17" s="46"/>
      <c r="R17" s="46"/>
      <c r="S17" s="36"/>
    </row>
    <row r="18" spans="2:19" x14ac:dyDescent="0.2">
      <c r="B18" s="61" t="s">
        <v>42</v>
      </c>
      <c r="C18" s="115">
        <f t="shared" si="2"/>
        <v>0</v>
      </c>
      <c r="D18" s="143">
        <f>'Hallunda Gård aggregated'!$C$26*'Project overview'!D6</f>
        <v>0</v>
      </c>
      <c r="E18" s="46">
        <f>'Hallunda Gård aggregated'!$C$26*'Project overview'!E6</f>
        <v>0</v>
      </c>
      <c r="F18" s="46">
        <f>'Hallunda Gård aggregated'!$C$26*'Project overview'!F6</f>
        <v>0</v>
      </c>
      <c r="G18" s="62">
        <f>'Hallunda Gård aggregated'!$C$26*'Project overview'!G6</f>
        <v>0</v>
      </c>
      <c r="H18" s="46">
        <f>'Hallunda Gård aggregated'!$C$26*'Project overview'!H6</f>
        <v>0</v>
      </c>
      <c r="I18" s="62">
        <f>'Hallunda Gård aggregated'!$C$26*'Project overview'!I6</f>
        <v>0</v>
      </c>
      <c r="J18" s="36">
        <f>'Hallunda Gård aggregated'!$C$26*'Project overview'!J6</f>
        <v>0</v>
      </c>
      <c r="K18" s="46">
        <f>'Hallunda Gård aggregated'!$C$26*'Project overview'!K6</f>
        <v>0</v>
      </c>
      <c r="L18" s="62">
        <f>'Hallunda Gård aggregated'!$C$26*'Project overview'!L6</f>
        <v>0</v>
      </c>
      <c r="M18" s="36">
        <f>'Hallunda Gård aggregated'!$C$26*'Project overview'!M6</f>
        <v>0</v>
      </c>
      <c r="N18" s="36">
        <f>'Hallunda Gård aggregated'!$C$26*'Project overview'!N6</f>
        <v>0</v>
      </c>
      <c r="O18" s="36">
        <f>'Hallunda Gård aggregated'!$C$26*'Project overview'!O6</f>
        <v>0</v>
      </c>
      <c r="P18" s="46">
        <f>'Hallunda Gård aggregated'!$C$26*'Project overview'!P6</f>
        <v>0</v>
      </c>
      <c r="Q18" s="46">
        <f>'Hallunda Gård aggregated'!$C$26*'Project overview'!Q6</f>
        <v>0</v>
      </c>
      <c r="R18" s="46">
        <f>'Hallunda Gård aggregated'!$C$26*'Project overview'!R6</f>
        <v>0</v>
      </c>
      <c r="S18" s="36">
        <f>'Hallunda Gård aggregated'!$C$26*'Project overview'!S6</f>
        <v>0</v>
      </c>
    </row>
    <row r="19" spans="2:19" x14ac:dyDescent="0.2">
      <c r="B19" s="61" t="s">
        <v>43</v>
      </c>
      <c r="C19" s="115">
        <f t="shared" si="2"/>
        <v>44357.774999999994</v>
      </c>
      <c r="D19" s="36">
        <f>'Hallunda Gård aggregated'!$C$26*'Project overview'!D7</f>
        <v>4158</v>
      </c>
      <c r="E19" s="46">
        <f>'Hallunda Gård aggregated'!$C$26*'Project overview'!E7</f>
        <v>3545.08</v>
      </c>
      <c r="F19" s="46">
        <f>'Hallunda Gård aggregated'!$C$26*'Project overview'!F7</f>
        <v>9580.7250000000004</v>
      </c>
      <c r="G19" s="62">
        <f>'Hallunda Gård aggregated'!$C$26*'Project overview'!G7</f>
        <v>1944.25</v>
      </c>
      <c r="H19" s="46">
        <f>'Hallunda Gård aggregated'!$C$26*'Project overview'!H7</f>
        <v>2425.5</v>
      </c>
      <c r="I19" s="62">
        <f>'Hallunda Gård aggregated'!$C$26*'Project overview'!I7</f>
        <v>5003.46</v>
      </c>
      <c r="J19" s="36">
        <f>'Hallunda Gård aggregated'!$C$26*'Project overview'!J7</f>
        <v>646.80000000000007</v>
      </c>
      <c r="K19" s="46">
        <f>'Hallunda Gård aggregated'!$C$26*'Project overview'!K7</f>
        <v>2263.8000000000002</v>
      </c>
      <c r="L19" s="62">
        <f>'Hallunda Gård aggregated'!$C$26*'Project overview'!L7</f>
        <v>4164.16</v>
      </c>
      <c r="M19" s="36">
        <f>'Hallunda Gård aggregated'!$C$26*'Project overview'!M7</f>
        <v>2695</v>
      </c>
      <c r="N19" s="36">
        <f>'Hallunda Gård aggregated'!$C$26*'Project overview'!N7</f>
        <v>1501.5</v>
      </c>
      <c r="O19" s="36">
        <f>'Hallunda Gård aggregated'!$C$26*'Project overview'!O7</f>
        <v>0</v>
      </c>
      <c r="P19" s="46">
        <f>'Hallunda Gård aggregated'!$C$26*'Project overview'!P7</f>
        <v>2781.625</v>
      </c>
      <c r="Q19" s="46">
        <f>'Hallunda Gård aggregated'!$C$26*'Project overview'!Q7</f>
        <v>2040.5</v>
      </c>
      <c r="R19" s="46">
        <f>'Hallunda Gård aggregated'!$C$26*'Project overview'!R7</f>
        <v>1607.375</v>
      </c>
      <c r="S19" s="36">
        <f>'Hallunda Gård aggregated'!$C$26*'Project overview'!S7</f>
        <v>0</v>
      </c>
    </row>
    <row r="20" spans="2:19" x14ac:dyDescent="0.2">
      <c r="B20" s="61" t="s">
        <v>44</v>
      </c>
      <c r="C20" s="115">
        <f t="shared" si="2"/>
        <v>0</v>
      </c>
      <c r="D20" s="36">
        <f>'Hallunda Gård aggregated'!$C$27*'Project overview'!D8</f>
        <v>0</v>
      </c>
      <c r="E20" s="46">
        <f>'Hallunda Gård aggregated'!$C$27*'Project overview'!E8</f>
        <v>0</v>
      </c>
      <c r="F20" s="46">
        <f>'Hallunda Gård aggregated'!$C$27*'Project overview'!F8</f>
        <v>0</v>
      </c>
      <c r="G20" s="62">
        <f>'Hallunda Gård aggregated'!$C$27*'Project overview'!G8</f>
        <v>0</v>
      </c>
      <c r="H20" s="46">
        <f>'Hallunda Gård aggregated'!$C$27*'Project overview'!H8</f>
        <v>0</v>
      </c>
      <c r="I20" s="62">
        <f>'Hallunda Gård aggregated'!$C$27*'Project overview'!I8</f>
        <v>0</v>
      </c>
      <c r="J20" s="36">
        <f>'Hallunda Gård aggregated'!$C$27*'Project overview'!J8</f>
        <v>0</v>
      </c>
      <c r="K20" s="46">
        <f>'Hallunda Gård aggregated'!$C$27*'Project overview'!K8</f>
        <v>0</v>
      </c>
      <c r="L20" s="62">
        <f>'Hallunda Gård aggregated'!$C$27*'Project overview'!L8</f>
        <v>0</v>
      </c>
      <c r="M20" s="36">
        <f>'Hallunda Gård aggregated'!$C$27*'Project overview'!M8</f>
        <v>0</v>
      </c>
      <c r="N20" s="36">
        <f>'Hallunda Gård aggregated'!$C$27*'Project overview'!N8</f>
        <v>0</v>
      </c>
      <c r="O20" s="36">
        <f>'Hallunda Gård aggregated'!$C$27*'Project overview'!O8</f>
        <v>0</v>
      </c>
      <c r="P20" s="46">
        <f>'Hallunda Gård aggregated'!$C$27*'Project overview'!P8</f>
        <v>0</v>
      </c>
      <c r="Q20" s="46">
        <f>'Hallunda Gård aggregated'!$C$27*'Project overview'!Q8</f>
        <v>0</v>
      </c>
      <c r="R20" s="46">
        <f>'Hallunda Gård aggregated'!$C$27*'Project overview'!R8</f>
        <v>0</v>
      </c>
      <c r="S20" s="36">
        <f>'Hallunda Gård aggregated'!$C$27*'Project overview'!S8</f>
        <v>0</v>
      </c>
    </row>
    <row r="21" spans="2:19" x14ac:dyDescent="0.2">
      <c r="B21" s="61" t="s">
        <v>45</v>
      </c>
      <c r="C21" s="115">
        <f t="shared" si="2"/>
        <v>0</v>
      </c>
      <c r="D21" s="36">
        <f>'Hallunda Gård aggregated'!$C$27*'Project overview'!D9</f>
        <v>0</v>
      </c>
      <c r="E21" s="46">
        <f>'Hallunda Gård aggregated'!$C$27*'Project overview'!E9</f>
        <v>0</v>
      </c>
      <c r="F21" s="46">
        <f>'Hallunda Gård aggregated'!$C$27*'Project overview'!F9</f>
        <v>0</v>
      </c>
      <c r="G21" s="62">
        <f>'Hallunda Gård aggregated'!$C$27*'Project overview'!G9</f>
        <v>0</v>
      </c>
      <c r="H21" s="46">
        <f>'Hallunda Gård aggregated'!$C$27*'Project overview'!H9</f>
        <v>0</v>
      </c>
      <c r="I21" s="62">
        <f>'Hallunda Gård aggregated'!$C$27*'Project overview'!I9</f>
        <v>0</v>
      </c>
      <c r="J21" s="36">
        <f>'Hallunda Gård aggregated'!$C$27*'Project overview'!J9</f>
        <v>0</v>
      </c>
      <c r="K21" s="46">
        <f>'Hallunda Gård aggregated'!$C$27*'Project overview'!K9</f>
        <v>0</v>
      </c>
      <c r="L21" s="62">
        <f>'Hallunda Gård aggregated'!$C$27*'Project overview'!L9</f>
        <v>0</v>
      </c>
      <c r="M21" s="36">
        <f>'Hallunda Gård aggregated'!$C$27*'Project overview'!M9</f>
        <v>0</v>
      </c>
      <c r="N21" s="36">
        <f>'Hallunda Gård aggregated'!$C$27*'Project overview'!N9</f>
        <v>0</v>
      </c>
      <c r="O21" s="36">
        <f>'Hallunda Gård aggregated'!$C$27*'Project overview'!O9</f>
        <v>0</v>
      </c>
      <c r="P21" s="46">
        <f>'Hallunda Gård aggregated'!$C$27*'Project overview'!P9</f>
        <v>0</v>
      </c>
      <c r="Q21" s="46">
        <f>'Hallunda Gård aggregated'!$C$27*'Project overview'!Q9</f>
        <v>0</v>
      </c>
      <c r="R21" s="46">
        <f>'Hallunda Gård aggregated'!$C$27*'Project overview'!R9</f>
        <v>0</v>
      </c>
      <c r="S21" s="36">
        <f>'Hallunda Gård aggregated'!$C$27*'Project overview'!S9</f>
        <v>0</v>
      </c>
    </row>
    <row r="22" spans="2:19" x14ac:dyDescent="0.2">
      <c r="B22" s="61" t="s">
        <v>46</v>
      </c>
      <c r="C22" s="115">
        <f t="shared" si="2"/>
        <v>2804</v>
      </c>
      <c r="D22" s="36">
        <f>'Hallunda Gård aggregated'!$C$28*'Project overview'!D10</f>
        <v>0</v>
      </c>
      <c r="E22" s="46">
        <f>'Hallunda Gård aggregated'!$C$28*'Project overview'!E10</f>
        <v>560</v>
      </c>
      <c r="F22" s="46">
        <f>'Hallunda Gård aggregated'!$C$28*'Project overview'!F10</f>
        <v>0</v>
      </c>
      <c r="G22" s="62">
        <f>'Hallunda Gård aggregated'!$C$28*'Project overview'!G10</f>
        <v>0</v>
      </c>
      <c r="H22" s="46">
        <f>'Hallunda Gård aggregated'!$C$28*'Project overview'!H10</f>
        <v>0</v>
      </c>
      <c r="I22" s="62">
        <f>'Hallunda Gård aggregated'!$C$28*'Project overview'!I10</f>
        <v>328</v>
      </c>
      <c r="J22" s="36">
        <f>'Hallunda Gård aggregated'!$C$28*'Project overview'!J10</f>
        <v>0</v>
      </c>
      <c r="K22" s="46">
        <f>'Hallunda Gård aggregated'!$C$28*'Project overview'!K10</f>
        <v>0</v>
      </c>
      <c r="L22" s="62">
        <f>'Hallunda Gård aggregated'!$C$28*'Project overview'!L10</f>
        <v>0</v>
      </c>
      <c r="M22" s="36">
        <f>'Hallunda Gård aggregated'!$C$28*'Project overview'!M10</f>
        <v>0</v>
      </c>
      <c r="N22" s="36">
        <f>'Hallunda Gård aggregated'!$C$28*'Project overview'!N10</f>
        <v>0</v>
      </c>
      <c r="O22" s="36">
        <f>'Hallunda Gård aggregated'!$C$28*'Project overview'!O10</f>
        <v>712</v>
      </c>
      <c r="P22" s="46">
        <f>'Hallunda Gård aggregated'!$C$28*'Project overview'!P10</f>
        <v>0</v>
      </c>
      <c r="Q22" s="46">
        <f>'Hallunda Gård aggregated'!$C$28*'Project overview'!Q10</f>
        <v>0</v>
      </c>
      <c r="R22" s="46">
        <f>'Hallunda Gård aggregated'!$C$28*'Project overview'!R10</f>
        <v>164</v>
      </c>
      <c r="S22" s="36">
        <f>'Hallunda Gård aggregated'!$C$28*'Project overview'!S10</f>
        <v>1040</v>
      </c>
    </row>
    <row r="23" spans="2:19" x14ac:dyDescent="0.2">
      <c r="B23" s="75" t="s">
        <v>47</v>
      </c>
      <c r="C23" s="116">
        <f t="shared" si="2"/>
        <v>4004</v>
      </c>
      <c r="D23" s="65">
        <f>'Hallunda Gård aggregated'!$C$26*'Project overview'!D11</f>
        <v>0</v>
      </c>
      <c r="E23" s="64">
        <f>'Hallunda Gård aggregated'!$C$26*'Project overview'!E11</f>
        <v>0</v>
      </c>
      <c r="F23" s="64">
        <f>'Hallunda Gård aggregated'!$C$26*'Project overview'!F11</f>
        <v>0</v>
      </c>
      <c r="G23" s="63">
        <f>'Hallunda Gård aggregated'!$C$26*'Project overview'!G11</f>
        <v>0</v>
      </c>
      <c r="H23" s="64">
        <f>'Hallunda Gård aggregated'!$C$26*'Project overview'!H11</f>
        <v>0</v>
      </c>
      <c r="I23" s="63">
        <f>'Hallunda Gård aggregated'!$C$26*'Project overview'!I11</f>
        <v>0</v>
      </c>
      <c r="J23" s="65">
        <f>'Hallunda Gård aggregated'!$C$26*'Project overview'!J11</f>
        <v>0</v>
      </c>
      <c r="K23" s="64">
        <f>'Hallunda Gård aggregated'!$C$26*'Project overview'!K11</f>
        <v>0</v>
      </c>
      <c r="L23" s="63">
        <f>'Hallunda Gård aggregated'!$C$26*'Project overview'!L11</f>
        <v>0</v>
      </c>
      <c r="M23" s="65">
        <f>'Hallunda Gård aggregated'!$C$26*'Project overview'!M11</f>
        <v>0</v>
      </c>
      <c r="N23" s="65">
        <f>'Hallunda Gård aggregated'!$C$26*'Project overview'!N11</f>
        <v>0</v>
      </c>
      <c r="O23" s="65">
        <f>'Hallunda Gård aggregated'!$C$26*'Project overview'!O11</f>
        <v>0</v>
      </c>
      <c r="P23" s="64">
        <f>'Hallunda Gård aggregated'!$C$26*'Project overview'!P11</f>
        <v>0</v>
      </c>
      <c r="Q23" s="64">
        <f>'Hallunda Gård aggregated'!$C$26*'Project overview'!Q11</f>
        <v>0</v>
      </c>
      <c r="R23" s="64">
        <f>'Hallunda Gård aggregated'!$C$26*'Project overview'!R11</f>
        <v>0</v>
      </c>
      <c r="S23" s="65">
        <f>'Hallunda Gård aggregated'!$C$26*'Project overview'!S11</f>
        <v>4004</v>
      </c>
    </row>
    <row r="24" spans="2:19" x14ac:dyDescent="0.2">
      <c r="B24" s="77" t="s">
        <v>48</v>
      </c>
      <c r="C24" s="85">
        <f t="shared" si="2"/>
        <v>51165.774999999994</v>
      </c>
      <c r="D24" s="85">
        <f>SUM(D18:D23)</f>
        <v>4158</v>
      </c>
      <c r="E24" s="66">
        <f t="shared" ref="E24:S24" si="3">SUM(E18:E23)</f>
        <v>4105.08</v>
      </c>
      <c r="F24" s="66">
        <f t="shared" si="3"/>
        <v>9580.7250000000004</v>
      </c>
      <c r="G24" s="67">
        <f t="shared" si="3"/>
        <v>1944.25</v>
      </c>
      <c r="H24" s="66">
        <f t="shared" si="3"/>
        <v>2425.5</v>
      </c>
      <c r="I24" s="67">
        <f t="shared" si="3"/>
        <v>5331.46</v>
      </c>
      <c r="J24" s="85">
        <f t="shared" si="3"/>
        <v>646.80000000000007</v>
      </c>
      <c r="K24" s="66">
        <f t="shared" si="3"/>
        <v>2263.8000000000002</v>
      </c>
      <c r="L24" s="67">
        <f t="shared" si="3"/>
        <v>4164.16</v>
      </c>
      <c r="M24" s="85">
        <f t="shared" si="3"/>
        <v>2695</v>
      </c>
      <c r="N24" s="85">
        <f t="shared" si="3"/>
        <v>1501.5</v>
      </c>
      <c r="O24" s="85">
        <f t="shared" si="3"/>
        <v>712</v>
      </c>
      <c r="P24" s="66">
        <f t="shared" si="3"/>
        <v>2781.625</v>
      </c>
      <c r="Q24" s="66">
        <f t="shared" si="3"/>
        <v>2040.5</v>
      </c>
      <c r="R24" s="66">
        <f t="shared" si="3"/>
        <v>1771.375</v>
      </c>
      <c r="S24" s="85">
        <f t="shared" si="3"/>
        <v>5044</v>
      </c>
    </row>
    <row r="25" spans="2:19" ht="13.5" thickBot="1" x14ac:dyDescent="0.25">
      <c r="B25" s="61"/>
      <c r="C25" s="31"/>
      <c r="D25" s="31"/>
      <c r="G25" s="61"/>
      <c r="I25" s="61"/>
      <c r="J25" s="31"/>
      <c r="L25" s="61"/>
      <c r="M25" s="31"/>
      <c r="N25" s="31"/>
      <c r="O25" s="31"/>
      <c r="S25" s="31"/>
    </row>
    <row r="26" spans="2:19" ht="13.5" thickBot="1" x14ac:dyDescent="0.25">
      <c r="B26" s="128" t="s">
        <v>49</v>
      </c>
      <c r="C26" s="129">
        <f>SUM(D26:S26)</f>
        <v>1.0000000000000002</v>
      </c>
      <c r="D26" s="130">
        <v>9.9000000000000005E-2</v>
      </c>
      <c r="E26" s="131">
        <v>5.6000000000000001E-2</v>
      </c>
      <c r="F26" s="131">
        <v>0.183</v>
      </c>
      <c r="G26" s="132">
        <v>3.1E-2</v>
      </c>
      <c r="H26" s="131">
        <v>4.5999999999999999E-2</v>
      </c>
      <c r="I26" s="132">
        <v>0.09</v>
      </c>
      <c r="J26" s="130">
        <v>1.4999999999999999E-2</v>
      </c>
      <c r="K26" s="131">
        <v>5.3999999999999999E-2</v>
      </c>
      <c r="L26" s="132">
        <v>0.1</v>
      </c>
      <c r="M26" s="130">
        <v>6.4000000000000001E-2</v>
      </c>
      <c r="N26" s="130">
        <v>3.5999999999999997E-2</v>
      </c>
      <c r="O26" s="130">
        <v>6.0000000000000001E-3</v>
      </c>
      <c r="P26" s="131">
        <v>5.7000000000000002E-2</v>
      </c>
      <c r="Q26" s="131">
        <v>4.1000000000000002E-2</v>
      </c>
      <c r="R26" s="131">
        <v>0.03</v>
      </c>
      <c r="S26" s="130">
        <v>9.1999999999999998E-2</v>
      </c>
    </row>
    <row r="27" spans="2:19" x14ac:dyDescent="0.2">
      <c r="B27" s="61"/>
      <c r="C27" s="31"/>
      <c r="D27" s="31"/>
      <c r="G27" s="61"/>
      <c r="I27" s="61"/>
      <c r="J27" s="31"/>
      <c r="L27" s="61"/>
      <c r="M27" s="31"/>
      <c r="N27" s="31"/>
      <c r="O27" s="31"/>
      <c r="S27" s="31"/>
    </row>
    <row r="28" spans="2:19" x14ac:dyDescent="0.2">
      <c r="B28" s="88" t="s">
        <v>50</v>
      </c>
      <c r="C28" s="89"/>
      <c r="D28" s="90"/>
      <c r="E28" s="91"/>
      <c r="F28" s="91"/>
      <c r="G28" s="92"/>
      <c r="H28" s="91"/>
      <c r="I28" s="92"/>
      <c r="J28" s="90"/>
      <c r="K28" s="91"/>
      <c r="L28" s="92"/>
      <c r="M28" s="90"/>
      <c r="N28" s="90"/>
      <c r="O28" s="90"/>
      <c r="P28" s="91"/>
      <c r="Q28" s="91"/>
      <c r="R28" s="91"/>
      <c r="S28" s="90"/>
    </row>
    <row r="29" spans="2:19" x14ac:dyDescent="0.2">
      <c r="B29" s="61" t="s">
        <v>51</v>
      </c>
      <c r="C29" s="85">
        <f>'Hallunda Gård aggregated'!D43</f>
        <v>157500000</v>
      </c>
      <c r="D29" s="36">
        <f t="shared" ref="D29:S29" si="4">$C$29*D26</f>
        <v>15592500</v>
      </c>
      <c r="E29" s="46">
        <f t="shared" si="4"/>
        <v>8820000</v>
      </c>
      <c r="F29" s="46">
        <f t="shared" si="4"/>
        <v>28822500</v>
      </c>
      <c r="G29" s="62">
        <f t="shared" si="4"/>
        <v>4882500</v>
      </c>
      <c r="H29" s="46">
        <f t="shared" si="4"/>
        <v>7245000</v>
      </c>
      <c r="I29" s="62">
        <f t="shared" si="4"/>
        <v>14175000</v>
      </c>
      <c r="J29" s="36">
        <f t="shared" si="4"/>
        <v>2362500</v>
      </c>
      <c r="K29" s="46">
        <f t="shared" si="4"/>
        <v>8505000</v>
      </c>
      <c r="L29" s="62">
        <f t="shared" si="4"/>
        <v>15750000</v>
      </c>
      <c r="M29" s="36">
        <f t="shared" si="4"/>
        <v>10080000</v>
      </c>
      <c r="N29" s="36">
        <f t="shared" si="4"/>
        <v>5670000</v>
      </c>
      <c r="O29" s="36">
        <f t="shared" si="4"/>
        <v>945000</v>
      </c>
      <c r="P29" s="46">
        <f t="shared" si="4"/>
        <v>8977500</v>
      </c>
      <c r="Q29" s="46">
        <f t="shared" si="4"/>
        <v>6457500</v>
      </c>
      <c r="R29" s="46">
        <f t="shared" si="4"/>
        <v>4725000</v>
      </c>
      <c r="S29" s="36">
        <f t="shared" si="4"/>
        <v>14490000</v>
      </c>
    </row>
    <row r="30" spans="2:19" x14ac:dyDescent="0.2">
      <c r="B30" s="75" t="s">
        <v>52</v>
      </c>
      <c r="C30" s="68">
        <f>'Hallunda Gård aggregated'!D44</f>
        <v>282269673.85000002</v>
      </c>
      <c r="D30" s="65">
        <f t="shared" ref="D30:S30" si="5">$C$30*D26</f>
        <v>27944697.711150005</v>
      </c>
      <c r="E30" s="64">
        <f t="shared" si="5"/>
        <v>15807101.735600002</v>
      </c>
      <c r="F30" s="64">
        <f t="shared" si="5"/>
        <v>51655350.314550005</v>
      </c>
      <c r="G30" s="63">
        <f t="shared" si="5"/>
        <v>8750359.8893500008</v>
      </c>
      <c r="H30" s="64">
        <f t="shared" si="5"/>
        <v>12984404.997100001</v>
      </c>
      <c r="I30" s="63">
        <f t="shared" si="5"/>
        <v>25404270.646500003</v>
      </c>
      <c r="J30" s="65">
        <f t="shared" si="5"/>
        <v>4234045.1077500004</v>
      </c>
      <c r="K30" s="64">
        <f t="shared" si="5"/>
        <v>15242562.3879</v>
      </c>
      <c r="L30" s="63">
        <f t="shared" si="5"/>
        <v>28226967.385000005</v>
      </c>
      <c r="M30" s="65">
        <f t="shared" si="5"/>
        <v>18065259.126400001</v>
      </c>
      <c r="N30" s="65">
        <f t="shared" si="5"/>
        <v>10161708.2586</v>
      </c>
      <c r="O30" s="65">
        <f t="shared" si="5"/>
        <v>1693618.0431000001</v>
      </c>
      <c r="P30" s="64">
        <f t="shared" si="5"/>
        <v>16089371.409450002</v>
      </c>
      <c r="Q30" s="64">
        <f t="shared" si="5"/>
        <v>11573056.627850002</v>
      </c>
      <c r="R30" s="64">
        <f t="shared" si="5"/>
        <v>8468090.2155000009</v>
      </c>
      <c r="S30" s="65">
        <f t="shared" si="5"/>
        <v>25968809.994200002</v>
      </c>
    </row>
    <row r="31" spans="2:19" hidden="1" x14ac:dyDescent="0.2">
      <c r="B31" s="61" t="s">
        <v>53</v>
      </c>
      <c r="C31" s="117">
        <f>'Hallunda Gård aggregated'!C45</f>
        <v>5700</v>
      </c>
      <c r="D31" s="36"/>
      <c r="E31" s="46">
        <f>C31*E6</f>
        <v>0</v>
      </c>
      <c r="F31" s="46"/>
      <c r="G31" s="62">
        <f>C31*G6</f>
        <v>0</v>
      </c>
      <c r="H31" s="46">
        <f>C31*H6</f>
        <v>0</v>
      </c>
      <c r="I31" s="62">
        <f>C31*I6</f>
        <v>0</v>
      </c>
      <c r="J31" s="36"/>
      <c r="K31" s="46"/>
      <c r="L31" s="62">
        <f>C31*L6</f>
        <v>0</v>
      </c>
      <c r="M31" s="36"/>
      <c r="N31" s="36"/>
      <c r="O31" s="36"/>
      <c r="P31" s="46">
        <f>C31*P6</f>
        <v>0</v>
      </c>
      <c r="Q31" s="46">
        <f>C31*Q6</f>
        <v>0</v>
      </c>
      <c r="R31" s="46">
        <f>C31*R6</f>
        <v>0</v>
      </c>
      <c r="S31" s="36"/>
    </row>
    <row r="32" spans="2:19" hidden="1" x14ac:dyDescent="0.2">
      <c r="B32" s="61" t="s">
        <v>54</v>
      </c>
      <c r="C32" s="117">
        <f>'Hallunda Gård aggregated'!C45</f>
        <v>5700</v>
      </c>
      <c r="D32" s="36"/>
      <c r="E32" s="46"/>
      <c r="F32" s="46">
        <f>C32*F7</f>
        <v>70922250</v>
      </c>
      <c r="G32" s="62"/>
      <c r="H32" s="46"/>
      <c r="I32" s="62"/>
      <c r="J32" s="36"/>
      <c r="K32" s="46"/>
      <c r="L32" s="62"/>
      <c r="M32" s="36"/>
      <c r="N32" s="36"/>
      <c r="O32" s="36"/>
      <c r="P32" s="46"/>
      <c r="Q32" s="46"/>
      <c r="R32" s="46"/>
      <c r="S32" s="36"/>
    </row>
    <row r="33" spans="2:19" hidden="1" x14ac:dyDescent="0.2">
      <c r="B33" s="61" t="s">
        <v>55</v>
      </c>
      <c r="C33" s="117">
        <f>'Hallunda Gård aggregated'!C45</f>
        <v>5700</v>
      </c>
      <c r="D33" s="36"/>
      <c r="E33" s="46"/>
      <c r="F33" s="46"/>
      <c r="G33" s="62">
        <f>C33*G8</f>
        <v>0</v>
      </c>
      <c r="H33" s="46"/>
      <c r="I33" s="62"/>
      <c r="J33" s="36">
        <f>C33*J8</f>
        <v>0</v>
      </c>
      <c r="K33" s="46">
        <f>C33*K8</f>
        <v>0</v>
      </c>
      <c r="L33" s="62"/>
      <c r="M33" s="36">
        <f>C33*M8</f>
        <v>0</v>
      </c>
      <c r="N33" s="36">
        <f>C33*N8</f>
        <v>0</v>
      </c>
      <c r="O33" s="36"/>
      <c r="P33" s="46"/>
      <c r="Q33" s="46"/>
      <c r="R33" s="46"/>
      <c r="S33" s="36"/>
    </row>
    <row r="34" spans="2:19" hidden="1" x14ac:dyDescent="0.2">
      <c r="B34" s="61" t="s">
        <v>56</v>
      </c>
      <c r="C34" s="117">
        <f>'Hallunda Gård aggregated'!C45</f>
        <v>5700</v>
      </c>
      <c r="D34" s="36">
        <f>C34*D9</f>
        <v>0</v>
      </c>
      <c r="E34" s="46"/>
      <c r="F34" s="46"/>
      <c r="G34" s="62"/>
      <c r="H34" s="46"/>
      <c r="I34" s="62"/>
      <c r="J34" s="36"/>
      <c r="K34" s="46"/>
      <c r="L34" s="62"/>
      <c r="M34" s="36"/>
      <c r="N34" s="36"/>
      <c r="O34" s="36"/>
      <c r="P34" s="46"/>
      <c r="Q34" s="46"/>
      <c r="R34" s="46"/>
      <c r="S34" s="36"/>
    </row>
    <row r="35" spans="2:19" hidden="1" x14ac:dyDescent="0.2">
      <c r="B35" s="61" t="s">
        <v>57</v>
      </c>
      <c r="C35" s="117">
        <f>'Hallunda Gård aggregated'!C46</f>
        <v>2500</v>
      </c>
      <c r="D35" s="36"/>
      <c r="E35" s="46">
        <f>C35*E10</f>
        <v>1750000</v>
      </c>
      <c r="F35" s="46"/>
      <c r="G35" s="62"/>
      <c r="H35" s="46"/>
      <c r="I35" s="62">
        <f>C35*I10</f>
        <v>1025000</v>
      </c>
      <c r="J35" s="36"/>
      <c r="K35" s="46"/>
      <c r="L35" s="62"/>
      <c r="M35" s="36"/>
      <c r="N35" s="36"/>
      <c r="O35" s="36">
        <f>C35*O10</f>
        <v>2225000</v>
      </c>
      <c r="P35" s="46"/>
      <c r="Q35" s="46"/>
      <c r="R35" s="46">
        <f>C35*R10</f>
        <v>512500</v>
      </c>
      <c r="S35" s="36">
        <f>C35*S10</f>
        <v>3250000</v>
      </c>
    </row>
    <row r="36" spans="2:19" hidden="1" x14ac:dyDescent="0.2">
      <c r="B36" s="75" t="s">
        <v>58</v>
      </c>
      <c r="C36" s="118">
        <f>'Hallunda Gård aggregated'!C47</f>
        <v>7880</v>
      </c>
      <c r="D36" s="65"/>
      <c r="E36" s="64"/>
      <c r="F36" s="64"/>
      <c r="G36" s="63"/>
      <c r="H36" s="64"/>
      <c r="I36" s="63"/>
      <c r="J36" s="65"/>
      <c r="K36" s="64"/>
      <c r="L36" s="63"/>
      <c r="M36" s="65"/>
      <c r="N36" s="65"/>
      <c r="O36" s="65"/>
      <c r="P36" s="64"/>
      <c r="Q36" s="64"/>
      <c r="R36" s="64"/>
      <c r="S36" s="65">
        <f>C36*S11</f>
        <v>40976000</v>
      </c>
    </row>
    <row r="37" spans="2:19" x14ac:dyDescent="0.2">
      <c r="B37" s="77" t="s">
        <v>59</v>
      </c>
      <c r="C37" s="85">
        <f>SUM(D37:S37)</f>
        <v>439769673.84999996</v>
      </c>
      <c r="D37" s="85">
        <f>SUM(D29:D30)</f>
        <v>43537197.711150005</v>
      </c>
      <c r="E37" s="66">
        <f t="shared" ref="E37:S37" si="6">SUM(E29:E30)</f>
        <v>24627101.735600002</v>
      </c>
      <c r="F37" s="66">
        <f t="shared" si="6"/>
        <v>80477850.314550012</v>
      </c>
      <c r="G37" s="67">
        <f t="shared" si="6"/>
        <v>13632859.889350001</v>
      </c>
      <c r="H37" s="66">
        <f t="shared" si="6"/>
        <v>20229404.997100003</v>
      </c>
      <c r="I37" s="67">
        <f t="shared" si="6"/>
        <v>39579270.646500006</v>
      </c>
      <c r="J37" s="85">
        <f t="shared" si="6"/>
        <v>6596545.1077500004</v>
      </c>
      <c r="K37" s="66">
        <f t="shared" si="6"/>
        <v>23747562.387900002</v>
      </c>
      <c r="L37" s="67">
        <f t="shared" si="6"/>
        <v>43976967.385000005</v>
      </c>
      <c r="M37" s="85">
        <f t="shared" si="6"/>
        <v>28145259.126400001</v>
      </c>
      <c r="N37" s="85">
        <f t="shared" si="6"/>
        <v>15831708.2586</v>
      </c>
      <c r="O37" s="85">
        <f t="shared" si="6"/>
        <v>2638618.0431000004</v>
      </c>
      <c r="P37" s="66">
        <f t="shared" si="6"/>
        <v>25066871.409450002</v>
      </c>
      <c r="Q37" s="66">
        <f t="shared" si="6"/>
        <v>18030556.627850004</v>
      </c>
      <c r="R37" s="66">
        <f t="shared" si="6"/>
        <v>13193090.215500001</v>
      </c>
      <c r="S37" s="85">
        <f t="shared" si="6"/>
        <v>40458809.994200006</v>
      </c>
    </row>
    <row r="38" spans="2:19" x14ac:dyDescent="0.2">
      <c r="B38" s="61"/>
      <c r="C38" s="31"/>
      <c r="D38" s="31"/>
      <c r="G38" s="61"/>
      <c r="I38" s="61"/>
      <c r="J38" s="31"/>
      <c r="L38" s="61"/>
      <c r="M38" s="31"/>
      <c r="N38" s="31"/>
      <c r="O38" s="31"/>
      <c r="S38" s="31"/>
    </row>
    <row r="39" spans="2:19" x14ac:dyDescent="0.2">
      <c r="B39" s="61" t="s">
        <v>60</v>
      </c>
      <c r="C39" s="115">
        <f>'Hallunda Gård aggregated'!D87</f>
        <v>519270000</v>
      </c>
      <c r="D39" s="36">
        <f t="shared" ref="D39:S39" si="7">$C$39*D26</f>
        <v>51407730</v>
      </c>
      <c r="E39" s="46">
        <f t="shared" si="7"/>
        <v>29079120</v>
      </c>
      <c r="F39" s="46">
        <f t="shared" si="7"/>
        <v>95026410</v>
      </c>
      <c r="G39" s="62">
        <f t="shared" si="7"/>
        <v>16097370</v>
      </c>
      <c r="H39" s="46">
        <f t="shared" si="7"/>
        <v>23886420</v>
      </c>
      <c r="I39" s="62">
        <f t="shared" si="7"/>
        <v>46734300</v>
      </c>
      <c r="J39" s="36">
        <f t="shared" si="7"/>
        <v>7789050</v>
      </c>
      <c r="K39" s="46">
        <f t="shared" si="7"/>
        <v>28040580</v>
      </c>
      <c r="L39" s="62">
        <f t="shared" si="7"/>
        <v>51927000</v>
      </c>
      <c r="M39" s="36">
        <f t="shared" si="7"/>
        <v>33233280</v>
      </c>
      <c r="N39" s="36">
        <f t="shared" si="7"/>
        <v>18693720</v>
      </c>
      <c r="O39" s="36">
        <f t="shared" si="7"/>
        <v>3115620</v>
      </c>
      <c r="P39" s="46">
        <f t="shared" si="7"/>
        <v>29598390</v>
      </c>
      <c r="Q39" s="46">
        <f t="shared" si="7"/>
        <v>21290070</v>
      </c>
      <c r="R39" s="46">
        <f t="shared" si="7"/>
        <v>15578100</v>
      </c>
      <c r="S39" s="36">
        <f t="shared" si="7"/>
        <v>47772840</v>
      </c>
    </row>
    <row r="40" spans="2:19" x14ac:dyDescent="0.2">
      <c r="B40" s="61" t="s">
        <v>61</v>
      </c>
      <c r="C40" s="115">
        <f>'Hallunda Gård aggregated'!D110*C39</f>
        <v>236285688.58475</v>
      </c>
      <c r="D40" s="36">
        <f t="shared" ref="D40:S40" si="8">$C$40*D26</f>
        <v>23392283.169890251</v>
      </c>
      <c r="E40" s="46">
        <f t="shared" si="8"/>
        <v>13231998.560745999</v>
      </c>
      <c r="F40" s="46">
        <f t="shared" si="8"/>
        <v>43240281.011009246</v>
      </c>
      <c r="G40" s="62">
        <f t="shared" si="8"/>
        <v>7324856.3461272502</v>
      </c>
      <c r="H40" s="46">
        <f t="shared" si="8"/>
        <v>10869141.6748985</v>
      </c>
      <c r="I40" s="62">
        <f t="shared" si="8"/>
        <v>21265711.972627498</v>
      </c>
      <c r="J40" s="36">
        <f t="shared" si="8"/>
        <v>3544285.3287712499</v>
      </c>
      <c r="K40" s="46">
        <f t="shared" si="8"/>
        <v>12759427.1835765</v>
      </c>
      <c r="L40" s="62">
        <f t="shared" si="8"/>
        <v>23628568.858475</v>
      </c>
      <c r="M40" s="36">
        <f t="shared" si="8"/>
        <v>15122284.069424</v>
      </c>
      <c r="N40" s="36">
        <f t="shared" si="8"/>
        <v>8506284.789051</v>
      </c>
      <c r="O40" s="36">
        <f t="shared" si="8"/>
        <v>1417714.1315085001</v>
      </c>
      <c r="P40" s="46">
        <f t="shared" si="8"/>
        <v>13468284.24933075</v>
      </c>
      <c r="Q40" s="46">
        <f t="shared" si="8"/>
        <v>9687713.2319747508</v>
      </c>
      <c r="R40" s="46">
        <f t="shared" si="8"/>
        <v>7088570.6575424997</v>
      </c>
      <c r="S40" s="36">
        <f t="shared" si="8"/>
        <v>21738283.349796999</v>
      </c>
    </row>
    <row r="41" spans="2:19" x14ac:dyDescent="0.2">
      <c r="B41" s="75" t="s">
        <v>62</v>
      </c>
      <c r="C41" s="116">
        <f>'Hallunda Gård aggregated'!D106</f>
        <v>141790937.5</v>
      </c>
      <c r="D41" s="65">
        <f t="shared" ref="D41:S41" si="9">$C$41*D26</f>
        <v>14037302.8125</v>
      </c>
      <c r="E41" s="64">
        <f t="shared" si="9"/>
        <v>7940292.5</v>
      </c>
      <c r="F41" s="64">
        <f t="shared" si="9"/>
        <v>25947741.5625</v>
      </c>
      <c r="G41" s="63">
        <f t="shared" si="9"/>
        <v>4395519.0625</v>
      </c>
      <c r="H41" s="64">
        <f t="shared" si="9"/>
        <v>6522383.125</v>
      </c>
      <c r="I41" s="63">
        <f t="shared" si="9"/>
        <v>12761184.375</v>
      </c>
      <c r="J41" s="65">
        <f t="shared" si="9"/>
        <v>2126864.0625</v>
      </c>
      <c r="K41" s="64">
        <f t="shared" si="9"/>
        <v>7656710.625</v>
      </c>
      <c r="L41" s="63">
        <f t="shared" si="9"/>
        <v>14179093.75</v>
      </c>
      <c r="M41" s="65">
        <f t="shared" si="9"/>
        <v>9074620</v>
      </c>
      <c r="N41" s="65">
        <f t="shared" si="9"/>
        <v>5104473.75</v>
      </c>
      <c r="O41" s="65">
        <f t="shared" si="9"/>
        <v>850745.625</v>
      </c>
      <c r="P41" s="64">
        <f t="shared" si="9"/>
        <v>8082083.4375</v>
      </c>
      <c r="Q41" s="64">
        <f t="shared" si="9"/>
        <v>5813428.4375</v>
      </c>
      <c r="R41" s="64">
        <f t="shared" si="9"/>
        <v>4253728.125</v>
      </c>
      <c r="S41" s="65">
        <f t="shared" si="9"/>
        <v>13044766.25</v>
      </c>
    </row>
    <row r="42" spans="2:19" x14ac:dyDescent="0.2">
      <c r="B42" s="77" t="s">
        <v>63</v>
      </c>
      <c r="C42" s="85">
        <f>SUM(D42:S42)</f>
        <v>1337116299.9347501</v>
      </c>
      <c r="D42" s="85">
        <f t="shared" ref="D42:S42" si="10">D37+D39+D40+D41</f>
        <v>132374513.69354026</v>
      </c>
      <c r="E42" s="66">
        <f t="shared" si="10"/>
        <v>74878512.796346009</v>
      </c>
      <c r="F42" s="66">
        <f t="shared" si="10"/>
        <v>244692282.88805926</v>
      </c>
      <c r="G42" s="67">
        <f t="shared" si="10"/>
        <v>41450605.297977254</v>
      </c>
      <c r="H42" s="66">
        <f t="shared" si="10"/>
        <v>61507349.796998501</v>
      </c>
      <c r="I42" s="67">
        <f t="shared" si="10"/>
        <v>120340466.99412751</v>
      </c>
      <c r="J42" s="85">
        <f t="shared" si="10"/>
        <v>20056744.499021251</v>
      </c>
      <c r="K42" s="66">
        <f t="shared" si="10"/>
        <v>72204280.196476504</v>
      </c>
      <c r="L42" s="67">
        <f t="shared" si="10"/>
        <v>133711629.99347501</v>
      </c>
      <c r="M42" s="85">
        <f t="shared" si="10"/>
        <v>85575443.195823997</v>
      </c>
      <c r="N42" s="85">
        <f t="shared" si="10"/>
        <v>48136186.797650993</v>
      </c>
      <c r="O42" s="85">
        <f t="shared" si="10"/>
        <v>8022697.7996085007</v>
      </c>
      <c r="P42" s="66">
        <f t="shared" si="10"/>
        <v>76215629.096280754</v>
      </c>
      <c r="Q42" s="66">
        <f t="shared" si="10"/>
        <v>54821768.297324754</v>
      </c>
      <c r="R42" s="66">
        <f t="shared" si="10"/>
        <v>40113488.998042502</v>
      </c>
      <c r="S42" s="85">
        <f t="shared" si="10"/>
        <v>123014699.593997</v>
      </c>
    </row>
    <row r="43" spans="2:19" x14ac:dyDescent="0.2">
      <c r="B43" s="61"/>
      <c r="C43" s="31"/>
      <c r="D43" s="31"/>
      <c r="G43" s="61"/>
      <c r="I43" s="61"/>
      <c r="J43" s="31"/>
      <c r="L43" s="61"/>
      <c r="M43" s="31"/>
      <c r="N43" s="31"/>
      <c r="O43" s="31"/>
      <c r="S43" s="31"/>
    </row>
    <row r="44" spans="2:19" x14ac:dyDescent="0.2">
      <c r="B44" s="88" t="s">
        <v>64</v>
      </c>
      <c r="C44" s="90"/>
      <c r="D44" s="90"/>
      <c r="E44" s="91"/>
      <c r="F44" s="91"/>
      <c r="G44" s="92"/>
      <c r="H44" s="91"/>
      <c r="I44" s="92"/>
      <c r="J44" s="90"/>
      <c r="K44" s="91"/>
      <c r="L44" s="92"/>
      <c r="M44" s="90"/>
      <c r="N44" s="90"/>
      <c r="O44" s="90"/>
      <c r="P44" s="91"/>
      <c r="Q44" s="91"/>
      <c r="R44" s="91"/>
      <c r="S44" s="90"/>
    </row>
    <row r="45" spans="2:19" x14ac:dyDescent="0.2">
      <c r="B45" s="61" t="s">
        <v>65</v>
      </c>
      <c r="C45" s="115">
        <f t="shared" ref="C45:C53" si="11">SUM(D45:S45)</f>
        <v>97717950.617283955</v>
      </c>
      <c r="D45" s="36"/>
      <c r="E45" s="46"/>
      <c r="F45" s="46"/>
      <c r="G45" s="62"/>
      <c r="H45" s="46"/>
      <c r="I45" s="62"/>
      <c r="J45" s="36"/>
      <c r="K45" s="46"/>
      <c r="L45" s="62"/>
      <c r="M45" s="36"/>
      <c r="N45" s="36"/>
      <c r="O45" s="148">
        <f>(O17*((0.98*'Hallunda Gård aggregated'!$C$114)-'Hallunda Gård aggregated'!$C$115))/'Hallunda Gård aggregated'!$C$135</f>
        <v>97717950.617283955</v>
      </c>
      <c r="P45" s="46"/>
      <c r="Q45" s="46"/>
      <c r="R45" s="46"/>
      <c r="S45" s="36"/>
    </row>
    <row r="46" spans="2:19" x14ac:dyDescent="0.2">
      <c r="B46" s="61" t="s">
        <v>66</v>
      </c>
      <c r="C46" s="115">
        <f t="shared" si="11"/>
        <v>0</v>
      </c>
      <c r="D46" s="36">
        <f>'Hallunda Gård aggregated'!$C$197*'Project overview'!D6</f>
        <v>0</v>
      </c>
      <c r="E46" s="46">
        <f>'Hallunda Gård aggregated'!$C$197*'Project overview'!E6</f>
        <v>0</v>
      </c>
      <c r="F46" s="46">
        <f>'Hallunda Gård aggregated'!$C$197*'Project overview'!F6</f>
        <v>0</v>
      </c>
      <c r="G46" s="62">
        <f>'Hallunda Gård aggregated'!$C$197*'Project overview'!G6</f>
        <v>0</v>
      </c>
      <c r="H46" s="46">
        <f>'Hallunda Gård aggregated'!$C$197*'Project overview'!H6</f>
        <v>0</v>
      </c>
      <c r="I46" s="62">
        <f>'Hallunda Gård aggregated'!$C$197*'Project overview'!I6</f>
        <v>0</v>
      </c>
      <c r="J46" s="36">
        <f>'Hallunda Gård aggregated'!$C$197*'Project overview'!J6</f>
        <v>0</v>
      </c>
      <c r="K46" s="46">
        <f>'Hallunda Gård aggregated'!$C$197*'Project overview'!K6</f>
        <v>0</v>
      </c>
      <c r="L46" s="62">
        <f>'Hallunda Gård aggregated'!$C$197*'Project overview'!L6</f>
        <v>0</v>
      </c>
      <c r="M46" s="36">
        <f>'Hallunda Gård aggregated'!$C$197*'Project overview'!M6</f>
        <v>0</v>
      </c>
      <c r="N46" s="36">
        <f>'Hallunda Gård aggregated'!$C$197*'Project overview'!N6</f>
        <v>0</v>
      </c>
      <c r="O46" s="36">
        <f>'Hallunda Gård aggregated'!$C$197*'Project overview'!O6</f>
        <v>0</v>
      </c>
      <c r="P46" s="46">
        <f>'Hallunda Gård aggregated'!$C$197*'Project overview'!P6</f>
        <v>0</v>
      </c>
      <c r="Q46" s="46">
        <f>'Hallunda Gård aggregated'!$C$197*'Project overview'!Q6</f>
        <v>0</v>
      </c>
      <c r="R46" s="46">
        <f>'Hallunda Gård aggregated'!$C$197*'Project overview'!R6</f>
        <v>0</v>
      </c>
      <c r="S46" s="36">
        <f>'Hallunda Gård aggregated'!$C$197*'Project overview'!S6</f>
        <v>0</v>
      </c>
    </row>
    <row r="47" spans="2:19" x14ac:dyDescent="0.2">
      <c r="B47" s="61" t="s">
        <v>67</v>
      </c>
      <c r="C47" s="115">
        <f t="shared" si="11"/>
        <v>3031154452.4074078</v>
      </c>
      <c r="D47" s="36">
        <f>(D19*((0.98*'Hallunda Gård aggregated'!$C$118)-'Hallunda Gård aggregated'!$C$119))/'Hallunda Gård aggregated'!$C$136</f>
        <v>284133733.33333337</v>
      </c>
      <c r="E47" s="112">
        <f>(E19*((0.98*'Hallunda Gård aggregated'!$C$118)-'Hallunda Gård aggregated'!$C$119))/'Hallunda Gård aggregated'!$C$136</f>
        <v>242250316.34567901</v>
      </c>
      <c r="F47" s="112">
        <f>(F19*((0.98*'Hallunda Gård aggregated'!$C$118)-'Hallunda Gård aggregated'!$C$119))/'Hallunda Gård aggregated'!$C$136</f>
        <v>654691477.22222233</v>
      </c>
      <c r="G47" s="134">
        <f>(G19*((0.98*'Hallunda Gård aggregated'!$C$118)-'Hallunda Gård aggregated'!$C$119))/'Hallunda Gård aggregated'!$C$136</f>
        <v>132858829.01234569</v>
      </c>
      <c r="H47" s="112">
        <f>(H19*((0.98*'Hallunda Gård aggregated'!$C$118)-'Hallunda Gård aggregated'!$C$119))/'Hallunda Gård aggregated'!$C$136</f>
        <v>165744677.77777779</v>
      </c>
      <c r="I47" s="134">
        <f>(I19*((0.98*'Hallunda Gård aggregated'!$C$118)-'Hallunda Gård aggregated'!$C$119))/'Hallunda Gård aggregated'!$C$136</f>
        <v>341907592.44444448</v>
      </c>
      <c r="J47" s="36">
        <f>(J19*((0.98*'Hallunda Gård aggregated'!$C$118)-'Hallunda Gård aggregated'!$C$119))/'Hallunda Gård aggregated'!$C$136</f>
        <v>44198580.740740746</v>
      </c>
      <c r="K47" s="46">
        <f>(K19*((0.98*'Hallunda Gård aggregated'!$C$118)-'Hallunda Gård aggregated'!$C$119))/'Hallunda Gård aggregated'!$C$136</f>
        <v>154695032.59259263</v>
      </c>
      <c r="L47" s="134">
        <f>(L19*((0.98*'Hallunda Gård aggregated'!$C$118)-'Hallunda Gård aggregated'!$C$119))/'Hallunda Gård aggregated'!$C$136</f>
        <v>284554672.19753087</v>
      </c>
      <c r="M47" s="36">
        <f>(M19*((0.98*'Hallunda Gård aggregated'!$C$118)-'Hallunda Gård aggregated'!$C$119))/'Hallunda Gård aggregated'!$C$136</f>
        <v>184160753.08641976</v>
      </c>
      <c r="N47" s="36">
        <f>(N19*((0.98*'Hallunda Gård aggregated'!$C$118)-'Hallunda Gård aggregated'!$C$119))/'Hallunda Gård aggregated'!$C$136</f>
        <v>102603848.14814816</v>
      </c>
      <c r="O47" s="36">
        <f>(O19*((0.98*'Hallunda Gård aggregated'!$C$118)-'Hallunda Gård aggregated'!$C$119))/'Hallunda Gård aggregated'!$C$136</f>
        <v>0</v>
      </c>
      <c r="P47" s="112">
        <f>(P19*((0.98*'Hallunda Gård aggregated'!$C$118)-'Hallunda Gård aggregated'!$C$119))/'Hallunda Gård aggregated'!$C$136</f>
        <v>190080205.86419755</v>
      </c>
      <c r="Q47" s="112">
        <f>(Q19*((0.98*'Hallunda Gård aggregated'!$C$118)-'Hallunda Gård aggregated'!$C$119))/'Hallunda Gård aggregated'!$C$136</f>
        <v>139435998.76543212</v>
      </c>
      <c r="R47" s="134">
        <f>(R19*((0.98*'Hallunda Gård aggregated'!$C$118)-'Hallunda Gård aggregated'!$C$119))/'Hallunda Gård aggregated'!$C$136</f>
        <v>109838734.87654322</v>
      </c>
      <c r="S47" s="36">
        <f>(S19*((0.98*'Hallunda Gård aggregated'!$C$118)-'Hallunda Gård aggregated'!$C$119))/'Hallunda Gård aggregated'!$C$136</f>
        <v>0</v>
      </c>
    </row>
    <row r="48" spans="2:19" x14ac:dyDescent="0.2">
      <c r="B48" s="61" t="s">
        <v>68</v>
      </c>
      <c r="C48" s="115">
        <f t="shared" si="11"/>
        <v>0</v>
      </c>
      <c r="D48" s="36">
        <f>'Hallunda Gård aggregated'!$C$197*'Project overview'!D20</f>
        <v>0</v>
      </c>
      <c r="E48" s="46">
        <f>'Hallunda Gård aggregated'!$C$197*'Project overview'!E20</f>
        <v>0</v>
      </c>
      <c r="F48" s="46">
        <f>'Hallunda Gård aggregated'!$C$197*'Project overview'!F20</f>
        <v>0</v>
      </c>
      <c r="G48" s="62">
        <f>'Hallunda Gård aggregated'!$C$197*'Project overview'!G20</f>
        <v>0</v>
      </c>
      <c r="H48" s="46">
        <f>'Hallunda Gård aggregated'!$C$197*'Project overview'!H20</f>
        <v>0</v>
      </c>
      <c r="I48" s="62">
        <f>'Hallunda Gård aggregated'!$C$197*'Project overview'!I20</f>
        <v>0</v>
      </c>
      <c r="J48" s="36">
        <f>'Hallunda Gård aggregated'!$C$197*'Project overview'!J20</f>
        <v>0</v>
      </c>
      <c r="K48" s="46">
        <f>'Hallunda Gård aggregated'!$C$197*'Project overview'!K20</f>
        <v>0</v>
      </c>
      <c r="L48" s="62">
        <f>'Hallunda Gård aggregated'!$C$197*'Project overview'!L20</f>
        <v>0</v>
      </c>
      <c r="M48" s="36">
        <f>'Hallunda Gård aggregated'!$C$197*'Project overview'!M20</f>
        <v>0</v>
      </c>
      <c r="N48" s="36">
        <f>'Hallunda Gård aggregated'!$C$197*'Project overview'!N20</f>
        <v>0</v>
      </c>
      <c r="O48" s="36">
        <f>'Hallunda Gård aggregated'!$C$197*'Project overview'!O20</f>
        <v>0</v>
      </c>
      <c r="P48" s="46">
        <f>'Hallunda Gård aggregated'!$C$197*'Project overview'!P20</f>
        <v>0</v>
      </c>
      <c r="Q48" s="46">
        <f>'Hallunda Gård aggregated'!$C$197*'Project overview'!Q20</f>
        <v>0</v>
      </c>
      <c r="R48" s="46">
        <f>'Hallunda Gård aggregated'!$C$197*'Project overview'!R20</f>
        <v>0</v>
      </c>
      <c r="S48" s="36">
        <f>'Hallunda Gård aggregated'!$C$197*'Project overview'!S20</f>
        <v>0</v>
      </c>
    </row>
    <row r="49" spans="2:19" x14ac:dyDescent="0.2">
      <c r="B49" s="61" t="s">
        <v>69</v>
      </c>
      <c r="C49" s="115">
        <f t="shared" si="11"/>
        <v>0</v>
      </c>
      <c r="D49" s="36">
        <f>'Hallunda Gård aggregated'!$C$203*'Project overview'!D21</f>
        <v>0</v>
      </c>
      <c r="E49" s="46">
        <f>'Hallunda Gård aggregated'!$C$203*'Project overview'!E21</f>
        <v>0</v>
      </c>
      <c r="F49" s="46">
        <f>'Hallunda Gård aggregated'!$C$203*'Project overview'!F21</f>
        <v>0</v>
      </c>
      <c r="G49" s="62">
        <f>'Hallunda Gård aggregated'!$C$203*'Project overview'!G21</f>
        <v>0</v>
      </c>
      <c r="H49" s="46">
        <f>'Hallunda Gård aggregated'!$C$203*'Project overview'!H21</f>
        <v>0</v>
      </c>
      <c r="I49" s="62">
        <f>'Hallunda Gård aggregated'!$C$203*'Project overview'!I21</f>
        <v>0</v>
      </c>
      <c r="J49" s="36">
        <f>'Hallunda Gård aggregated'!$C$203*'Project overview'!J21</f>
        <v>0</v>
      </c>
      <c r="K49" s="46">
        <f>'Hallunda Gård aggregated'!$C$203*'Project overview'!K21</f>
        <v>0</v>
      </c>
      <c r="L49" s="62">
        <f>'Hallunda Gård aggregated'!$C$203*'Project overview'!L21</f>
        <v>0</v>
      </c>
      <c r="M49" s="36">
        <f>'Hallunda Gård aggregated'!$C$203*'Project overview'!M21</f>
        <v>0</v>
      </c>
      <c r="N49" s="36">
        <f>'Hallunda Gård aggregated'!$C$203*'Project overview'!N21</f>
        <v>0</v>
      </c>
      <c r="O49" s="36">
        <f>'Hallunda Gård aggregated'!$C$203*'Project overview'!O21</f>
        <v>0</v>
      </c>
      <c r="P49" s="46">
        <f>'Hallunda Gård aggregated'!$C$203*'Project overview'!P21</f>
        <v>0</v>
      </c>
      <c r="Q49" s="46">
        <f>'Hallunda Gård aggregated'!$C$203*'Project overview'!Q21</f>
        <v>0</v>
      </c>
      <c r="R49" s="46">
        <f>'Hallunda Gård aggregated'!$C$203*'Project overview'!R21</f>
        <v>0</v>
      </c>
      <c r="S49" s="36">
        <f>'Hallunda Gård aggregated'!$C$203*'Project overview'!S21</f>
        <v>0</v>
      </c>
    </row>
    <row r="50" spans="2:19" x14ac:dyDescent="0.2">
      <c r="B50" s="61" t="s">
        <v>70</v>
      </c>
      <c r="C50" s="115">
        <f t="shared" si="11"/>
        <v>85198461.538461536</v>
      </c>
      <c r="D50" s="36">
        <f>(D22*((0.95*'Hallunda Gård aggregated'!$C$122)-'Hallunda Gård aggregated'!$C$123))/'Hallunda Gård aggregated'!$C$137</f>
        <v>0</v>
      </c>
      <c r="E50" s="112">
        <f>(E22*((0.95*'Hallunda Gård aggregated'!$C$122)-'Hallunda Gård aggregated'!$C$123))/'Hallunda Gård aggregated'!$C$137</f>
        <v>17015384.615384616</v>
      </c>
      <c r="F50" s="46">
        <f>(F22*((0.95*'Hallunda Gård aggregated'!$C$122)-'Hallunda Gård aggregated'!$C$123))/'Hallunda Gård aggregated'!$C$137</f>
        <v>0</v>
      </c>
      <c r="G50" s="62">
        <f>(G22*((0.95*'Hallunda Gård aggregated'!$C$122)-'Hallunda Gård aggregated'!$C$123))/'Hallunda Gård aggregated'!$C$137</f>
        <v>0</v>
      </c>
      <c r="H50" s="46">
        <f>(H22*((0.95*'Hallunda Gård aggregated'!$C$122)-'Hallunda Gård aggregated'!$C$123))/'Hallunda Gård aggregated'!$C$137</f>
        <v>0</v>
      </c>
      <c r="I50" s="134">
        <f>(I22*((0.95*'Hallunda Gård aggregated'!$C$122)-'Hallunda Gård aggregated'!$C$123))/'Hallunda Gård aggregated'!$C$137</f>
        <v>9966153.846153846</v>
      </c>
      <c r="J50" s="36">
        <f>(J22*((0.95*'Hallunda Gård aggregated'!$C$122)-'Hallunda Gård aggregated'!$C$123))/'Hallunda Gård aggregated'!$C$137</f>
        <v>0</v>
      </c>
      <c r="K50" s="46">
        <f>(K22*((0.95*'Hallunda Gård aggregated'!$C$122)-'Hallunda Gård aggregated'!$C$123))/'Hallunda Gård aggregated'!$C$137</f>
        <v>0</v>
      </c>
      <c r="L50" s="62">
        <f>(L22*((0.95*'Hallunda Gård aggregated'!$C$122)-'Hallunda Gård aggregated'!$C$123))/'Hallunda Gård aggregated'!$C$137</f>
        <v>0</v>
      </c>
      <c r="M50" s="36">
        <f>(M22*((0.95*'Hallunda Gård aggregated'!$C$122)-'Hallunda Gård aggregated'!$C$123))/'Hallunda Gård aggregated'!$C$137</f>
        <v>0</v>
      </c>
      <c r="N50" s="36">
        <f>(N22*((0.95*'Hallunda Gård aggregated'!$C$122)-'Hallunda Gård aggregated'!$C$123))/'Hallunda Gård aggregated'!$C$137</f>
        <v>0</v>
      </c>
      <c r="O50" s="114">
        <f>(O22*((0.95*'Hallunda Gård aggregated'!$C$122)-'Hallunda Gård aggregated'!$C$123))/'Hallunda Gård aggregated'!$C$137</f>
        <v>21633846.153846152</v>
      </c>
      <c r="P50" s="46">
        <f>(P22*((0.95*'Hallunda Gård aggregated'!$C$122)-'Hallunda Gård aggregated'!$C$123))/'Hallunda Gård aggregated'!$C$137</f>
        <v>0</v>
      </c>
      <c r="Q50" s="46">
        <f>(Q22*((0.95*'Hallunda Gård aggregated'!$C$122)-'Hallunda Gård aggregated'!$C$123))/'Hallunda Gård aggregated'!$C$137</f>
        <v>0</v>
      </c>
      <c r="R50" s="134">
        <f>(R22*((0.95*'Hallunda Gård aggregated'!$C$122)-'Hallunda Gård aggregated'!$C$123))/'Hallunda Gård aggregated'!$C$137</f>
        <v>4983076.923076923</v>
      </c>
      <c r="S50" s="114">
        <f>(S22*((0.95*'Hallunda Gård aggregated'!$C$122)-'Hallunda Gård aggregated'!$C$123))/'Hallunda Gård aggregated'!$C$137</f>
        <v>31600000</v>
      </c>
    </row>
    <row r="51" spans="2:19" x14ac:dyDescent="0.2">
      <c r="B51" s="61" t="s">
        <v>71</v>
      </c>
      <c r="C51" s="115">
        <f t="shared" si="11"/>
        <v>160160000</v>
      </c>
      <c r="D51" s="36">
        <f>(D23*((1*'Hallunda Gård aggregated'!$C$126)-'Hallunda Gård aggregated'!$C$127))/'Hallunda Gård aggregated'!$C$138</f>
        <v>0</v>
      </c>
      <c r="E51" s="46">
        <f>(E23*((1*'Hallunda Gård aggregated'!$C$126)-'Hallunda Gård aggregated'!$C$127))/'Hallunda Gård aggregated'!$C$138</f>
        <v>0</v>
      </c>
      <c r="F51" s="46">
        <f>(F23*((1*'Hallunda Gård aggregated'!$C$126)-'Hallunda Gård aggregated'!$C$127))/'Hallunda Gård aggregated'!$C$138</f>
        <v>0</v>
      </c>
      <c r="G51" s="62">
        <f>(G23*((1*'Hallunda Gård aggregated'!$C$126)-'Hallunda Gård aggregated'!$C$127))/'Hallunda Gård aggregated'!$C$138</f>
        <v>0</v>
      </c>
      <c r="H51" s="46">
        <f>(H23*((1*'Hallunda Gård aggregated'!$C$126)-'Hallunda Gård aggregated'!$C$127))/'Hallunda Gård aggregated'!$C$138</f>
        <v>0</v>
      </c>
      <c r="I51" s="62">
        <f>(I23*((1*'Hallunda Gård aggregated'!$C$126)-'Hallunda Gård aggregated'!$C$127))/'Hallunda Gård aggregated'!$C$138</f>
        <v>0</v>
      </c>
      <c r="J51" s="36">
        <f>(J23*((1*'Hallunda Gård aggregated'!$C$126)-'Hallunda Gård aggregated'!$C$127))/'Hallunda Gård aggregated'!$C$138</f>
        <v>0</v>
      </c>
      <c r="K51" s="46">
        <f>(K23*((1*'Hallunda Gård aggregated'!$C$126)-'Hallunda Gård aggregated'!$C$127))/'Hallunda Gård aggregated'!$C$138</f>
        <v>0</v>
      </c>
      <c r="L51" s="62">
        <f>(L23*((1*'Hallunda Gård aggregated'!$C$126)-'Hallunda Gård aggregated'!$C$127))/'Hallunda Gård aggregated'!$C$138</f>
        <v>0</v>
      </c>
      <c r="M51" s="36">
        <f>(M23*((1*'Hallunda Gård aggregated'!$C$126)-'Hallunda Gård aggregated'!$C$127))/'Hallunda Gård aggregated'!$C$138</f>
        <v>0</v>
      </c>
      <c r="N51" s="36">
        <f>(N23*((1*'Hallunda Gård aggregated'!$C$126)-'Hallunda Gård aggregated'!$C$127))/'Hallunda Gård aggregated'!$C$138</f>
        <v>0</v>
      </c>
      <c r="O51" s="36">
        <f>(O23*((1*'Hallunda Gård aggregated'!$C$126)-'Hallunda Gård aggregated'!$C$127))/'Hallunda Gård aggregated'!$C$138</f>
        <v>0</v>
      </c>
      <c r="P51" s="46">
        <f>(P23*((1*'Hallunda Gård aggregated'!$C$126)-'Hallunda Gård aggregated'!$C$127))/'Hallunda Gård aggregated'!$C$138</f>
        <v>0</v>
      </c>
      <c r="Q51" s="46">
        <f>(Q23*((1*'Hallunda Gård aggregated'!$C$126)-'Hallunda Gård aggregated'!$C$127))/'Hallunda Gård aggregated'!$C$138</f>
        <v>0</v>
      </c>
      <c r="R51" s="46">
        <f>(R23*((1*'Hallunda Gård aggregated'!$C$126)-'Hallunda Gård aggregated'!$C$127))/'Hallunda Gård aggregated'!$C$138</f>
        <v>0</v>
      </c>
      <c r="S51" s="36">
        <f>(S23*((1*'Hallunda Gård aggregated'!$C$126)-'Hallunda Gård aggregated'!$C$127))/'Hallunda Gård aggregated'!$C$138</f>
        <v>160160000</v>
      </c>
    </row>
    <row r="52" spans="2:19" x14ac:dyDescent="0.2">
      <c r="B52" s="75" t="s">
        <v>72</v>
      </c>
      <c r="C52" s="116">
        <f t="shared" si="11"/>
        <v>21685714.285714284</v>
      </c>
      <c r="D52" s="65">
        <f>0*('Hallunda Gård aggregated'!$C$130-'Hallunda Gård aggregated'!$C$131)/'Hallunda Gård aggregated'!$C$139</f>
        <v>0</v>
      </c>
      <c r="E52" s="64">
        <f>0*('Hallunda Gård aggregated'!$C$130-'Hallunda Gård aggregated'!$C$131)/'Hallunda Gård aggregated'!$C$139</f>
        <v>0</v>
      </c>
      <c r="F52" s="144">
        <f>138*('Hallunda Gård aggregated'!$C$130-'Hallunda Gård aggregated'!$C$131)/'Hallunda Gård aggregated'!$C$139</f>
        <v>21685714.285714284</v>
      </c>
      <c r="G52" s="63">
        <f>0*('Hallunda Gård aggregated'!$C$130-'Hallunda Gård aggregated'!$C$131)/'Hallunda Gård aggregated'!$C$139</f>
        <v>0</v>
      </c>
      <c r="H52" s="64">
        <f>0*('Hallunda Gård aggregated'!$C$130-'Hallunda Gård aggregated'!$C$131)/'Hallunda Gård aggregated'!$C$139</f>
        <v>0</v>
      </c>
      <c r="I52" s="63">
        <f>0*('Hallunda Gård aggregated'!$C$130-'Hallunda Gård aggregated'!$C$131)/'Hallunda Gård aggregated'!$C$139</f>
        <v>0</v>
      </c>
      <c r="J52" s="65">
        <f>0*('Hallunda Gård aggregated'!$C$130-'Hallunda Gård aggregated'!$C$131)/'Hallunda Gård aggregated'!$C$139</f>
        <v>0</v>
      </c>
      <c r="K52" s="64">
        <f>0*('Hallunda Gård aggregated'!$C$130-'Hallunda Gård aggregated'!$C$131)/'Hallunda Gård aggregated'!$C$139</f>
        <v>0</v>
      </c>
      <c r="L52" s="63">
        <f>0*('Hallunda Gård aggregated'!$C$130-'Hallunda Gård aggregated'!$C$131)/'Hallunda Gård aggregated'!$C$139</f>
        <v>0</v>
      </c>
      <c r="M52" s="65">
        <f>0*('Hallunda Gård aggregated'!$C$130-'Hallunda Gård aggregated'!$C$131)/'Hallunda Gård aggregated'!$C$139</f>
        <v>0</v>
      </c>
      <c r="N52" s="65">
        <f>0*('Hallunda Gård aggregated'!$C$130-'Hallunda Gård aggregated'!$C$131)/'Hallunda Gård aggregated'!$C$139</f>
        <v>0</v>
      </c>
      <c r="O52" s="65">
        <f>0*('Hallunda Gård aggregated'!$C$130-'Hallunda Gård aggregated'!$C$131)/'Hallunda Gård aggregated'!$C$139</f>
        <v>0</v>
      </c>
      <c r="P52" s="64">
        <f>0*('Hallunda Gård aggregated'!$C$130-'Hallunda Gård aggregated'!$C$131)/'Hallunda Gård aggregated'!$C$139</f>
        <v>0</v>
      </c>
      <c r="Q52" s="64">
        <f>0*('Hallunda Gård aggregated'!$C$130-'Hallunda Gård aggregated'!$C$131)/'Hallunda Gård aggregated'!$C$139</f>
        <v>0</v>
      </c>
      <c r="R52" s="64">
        <f>0*('Hallunda Gård aggregated'!$C$130-'Hallunda Gård aggregated'!$C$131)/'Hallunda Gård aggregated'!$C$139</f>
        <v>0</v>
      </c>
      <c r="S52" s="65">
        <f>0*('Hallunda Gård aggregated'!$C$130-'Hallunda Gård aggregated'!$C$131)/'Hallunda Gård aggregated'!$C$139</f>
        <v>0</v>
      </c>
    </row>
    <row r="53" spans="2:19" x14ac:dyDescent="0.2">
      <c r="B53" s="77" t="s">
        <v>73</v>
      </c>
      <c r="C53" s="85">
        <f t="shared" si="11"/>
        <v>3395916578.8488679</v>
      </c>
      <c r="D53" s="85">
        <f>SUM(D45:D52)</f>
        <v>284133733.33333337</v>
      </c>
      <c r="E53" s="66">
        <f t="shared" ref="E53:S53" si="12">SUM(E45:E52)</f>
        <v>259265700.96106362</v>
      </c>
      <c r="F53" s="66">
        <f t="shared" si="12"/>
        <v>676377191.5079366</v>
      </c>
      <c r="G53" s="67">
        <f t="shared" si="12"/>
        <v>132858829.01234569</v>
      </c>
      <c r="H53" s="66">
        <f t="shared" si="12"/>
        <v>165744677.77777779</v>
      </c>
      <c r="I53" s="67">
        <f t="shared" si="12"/>
        <v>351873746.29059833</v>
      </c>
      <c r="J53" s="85">
        <f t="shared" si="12"/>
        <v>44198580.740740746</v>
      </c>
      <c r="K53" s="66">
        <f t="shared" si="12"/>
        <v>154695032.59259263</v>
      </c>
      <c r="L53" s="67">
        <f t="shared" si="12"/>
        <v>284554672.19753087</v>
      </c>
      <c r="M53" s="85">
        <f t="shared" si="12"/>
        <v>184160753.08641976</v>
      </c>
      <c r="N53" s="85">
        <f t="shared" si="12"/>
        <v>102603848.14814816</v>
      </c>
      <c r="O53" s="85">
        <f t="shared" si="12"/>
        <v>119351796.77113011</v>
      </c>
      <c r="P53" s="66">
        <f t="shared" si="12"/>
        <v>190080205.86419755</v>
      </c>
      <c r="Q53" s="66">
        <f t="shared" si="12"/>
        <v>139435998.76543212</v>
      </c>
      <c r="R53" s="66">
        <f t="shared" si="12"/>
        <v>114821811.79962015</v>
      </c>
      <c r="S53" s="85">
        <f t="shared" si="12"/>
        <v>191760000</v>
      </c>
    </row>
    <row r="54" spans="2:19" x14ac:dyDescent="0.2">
      <c r="B54" s="61"/>
      <c r="C54" s="31"/>
      <c r="D54" s="31"/>
      <c r="G54" s="61"/>
      <c r="I54" s="61"/>
      <c r="J54" s="31"/>
      <c r="L54" s="61"/>
      <c r="M54" s="31"/>
      <c r="N54" s="31"/>
      <c r="O54" s="31"/>
      <c r="S54" s="31"/>
    </row>
    <row r="55" spans="2:19" x14ac:dyDescent="0.2">
      <c r="B55" s="77" t="s">
        <v>74</v>
      </c>
      <c r="C55" s="85">
        <f>SUM(D55:S55)</f>
        <v>2058800278.9141171</v>
      </c>
      <c r="D55" s="36">
        <f t="shared" ref="D55:S55" si="13">D53-D42</f>
        <v>151759219.6397931</v>
      </c>
      <c r="E55" s="46">
        <f t="shared" si="13"/>
        <v>184387188.16471761</v>
      </c>
      <c r="F55" s="46">
        <f t="shared" si="13"/>
        <v>431684908.61987734</v>
      </c>
      <c r="G55" s="62">
        <f t="shared" si="13"/>
        <v>91408223.714368433</v>
      </c>
      <c r="H55" s="46">
        <f t="shared" si="13"/>
        <v>104237327.98077929</v>
      </c>
      <c r="I55" s="62">
        <f t="shared" si="13"/>
        <v>231533279.29647082</v>
      </c>
      <c r="J55" s="36">
        <f t="shared" si="13"/>
        <v>24141836.241719496</v>
      </c>
      <c r="K55" s="46">
        <f t="shared" si="13"/>
        <v>82490752.396116123</v>
      </c>
      <c r="L55" s="62">
        <f t="shared" si="13"/>
        <v>150843042.20405585</v>
      </c>
      <c r="M55" s="36">
        <f t="shared" si="13"/>
        <v>98585309.890595764</v>
      </c>
      <c r="N55" s="36">
        <f t="shared" si="13"/>
        <v>54467661.350497171</v>
      </c>
      <c r="O55" s="36">
        <f t="shared" si="13"/>
        <v>111329098.97152162</v>
      </c>
      <c r="P55" s="46">
        <f t="shared" si="13"/>
        <v>113864576.7679168</v>
      </c>
      <c r="Q55" s="46">
        <f t="shared" si="13"/>
        <v>84614230.468107373</v>
      </c>
      <c r="R55" s="46">
        <f t="shared" si="13"/>
        <v>74708322.801577657</v>
      </c>
      <c r="S55" s="36">
        <f t="shared" si="13"/>
        <v>68745300.406002998</v>
      </c>
    </row>
    <row r="56" spans="2:19" x14ac:dyDescent="0.2">
      <c r="B56" s="120" t="s">
        <v>75</v>
      </c>
      <c r="C56" s="121">
        <f>C55/C53</f>
        <v>0.60625761296291902</v>
      </c>
      <c r="D56" s="122">
        <f t="shared" ref="D56:S56" si="14">D55/D53</f>
        <v>0.53411194038602861</v>
      </c>
      <c r="E56" s="123">
        <f t="shared" si="14"/>
        <v>0.71119005514890221</v>
      </c>
      <c r="F56" s="123">
        <f t="shared" si="14"/>
        <v>0.63823102558716593</v>
      </c>
      <c r="G56" s="124">
        <f t="shared" si="14"/>
        <v>0.68801015629811457</v>
      </c>
      <c r="H56" s="123">
        <f t="shared" si="14"/>
        <v>0.62890301745034316</v>
      </c>
      <c r="I56" s="124">
        <f t="shared" si="14"/>
        <v>0.65800100671692863</v>
      </c>
      <c r="J56" s="122">
        <f t="shared" si="14"/>
        <v>0.54621292894743045</v>
      </c>
      <c r="K56" s="123">
        <f t="shared" si="14"/>
        <v>0.53324758406021422</v>
      </c>
      <c r="L56" s="124">
        <f t="shared" si="14"/>
        <v>0.53010214535976519</v>
      </c>
      <c r="M56" s="122">
        <f t="shared" si="14"/>
        <v>0.53532203924216881</v>
      </c>
      <c r="N56" s="122">
        <f t="shared" si="14"/>
        <v>0.5308539819271898</v>
      </c>
      <c r="O56" s="122">
        <f t="shared" si="14"/>
        <v>0.93278108904390533</v>
      </c>
      <c r="P56" s="123">
        <f t="shared" si="14"/>
        <v>0.59903437209694066</v>
      </c>
      <c r="Q56" s="123">
        <f t="shared" si="14"/>
        <v>0.60683203202388702</v>
      </c>
      <c r="R56" s="123">
        <f t="shared" si="14"/>
        <v>0.6506457408280053</v>
      </c>
      <c r="S56" s="122">
        <f t="shared" si="14"/>
        <v>0.35849656031499272</v>
      </c>
    </row>
    <row r="57" spans="2:19" x14ac:dyDescent="0.2">
      <c r="C57" s="46"/>
    </row>
  </sheetData>
  <pageMargins left="0.7" right="0.7" top="0.75" bottom="0.75" header="0.3" footer="0.3"/>
  <pageSetup paperSize="8" scale="82" orientation="landscape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B659-852F-4A12-9900-ED7B882AAAD8}">
  <dimension ref="A1:AA426"/>
  <sheetViews>
    <sheetView zoomScale="115" zoomScaleNormal="115" workbookViewId="0">
      <selection activeCell="H4" sqref="H4"/>
    </sheetView>
  </sheetViews>
  <sheetFormatPr defaultColWidth="8.85546875" defaultRowHeight="11.25" outlineLevelRow="1" x14ac:dyDescent="0.2"/>
  <cols>
    <col min="1" max="1" width="8.85546875" style="224"/>
    <col min="2" max="2" width="21.5703125" style="159" bestFit="1" customWidth="1"/>
    <col min="3" max="3" width="12.85546875" style="227" customWidth="1"/>
    <col min="4" max="4" width="8.140625" style="227" customWidth="1"/>
    <col min="5" max="5" width="16.85546875" style="153" customWidth="1"/>
    <col min="6" max="6" width="7.85546875" style="153" customWidth="1"/>
    <col min="7" max="7" width="23" style="153" bestFit="1" customWidth="1"/>
    <col min="8" max="8" width="7.85546875" style="154" bestFit="1" customWidth="1"/>
    <col min="9" max="9" width="12.140625" style="154" customWidth="1"/>
    <col min="10" max="10" width="11.140625" style="154" customWidth="1"/>
    <col min="11" max="11" width="2.5703125" style="154" customWidth="1"/>
    <col min="12" max="12" width="12.85546875" style="155" customWidth="1"/>
    <col min="13" max="13" width="5.85546875" style="151" bestFit="1" customWidth="1"/>
    <col min="14" max="14" width="5.140625" style="151" customWidth="1"/>
    <col min="15" max="15" width="11.5703125" style="151" customWidth="1"/>
    <col min="16" max="16" width="5.5703125" style="151" customWidth="1"/>
    <col min="17" max="17" width="6.5703125" style="151" bestFit="1" customWidth="1"/>
    <col min="18" max="18" width="23.140625" style="151" bestFit="1" customWidth="1"/>
    <col min="19" max="19" width="7.42578125" style="151" customWidth="1"/>
    <col min="20" max="20" width="7.140625" style="151" customWidth="1"/>
    <col min="21" max="21" width="11.140625" style="151" customWidth="1"/>
    <col min="22" max="22" width="19.140625" style="151" customWidth="1"/>
    <col min="23" max="16384" width="8.85546875" style="151"/>
  </cols>
  <sheetData>
    <row r="1" spans="1:12" x14ac:dyDescent="0.2">
      <c r="A1" s="151"/>
      <c r="B1" s="152"/>
      <c r="C1" s="153"/>
      <c r="D1" s="153"/>
    </row>
    <row r="2" spans="1:12" s="152" customFormat="1" x14ac:dyDescent="0.2">
      <c r="B2" s="156" t="s">
        <v>76</v>
      </c>
      <c r="C2" s="156"/>
      <c r="D2" s="157"/>
      <c r="E2" s="156"/>
      <c r="F2" s="153"/>
      <c r="G2" s="156" t="s">
        <v>228</v>
      </c>
      <c r="H2" s="158" t="s">
        <v>229</v>
      </c>
      <c r="L2" s="154"/>
    </row>
    <row r="3" spans="1:12" s="152" customFormat="1" x14ac:dyDescent="0.2">
      <c r="B3" s="159" t="s">
        <v>230</v>
      </c>
      <c r="C3" s="160"/>
      <c r="D3" s="160"/>
      <c r="E3" s="161" t="s">
        <v>226</v>
      </c>
      <c r="F3" s="153"/>
      <c r="G3" s="162" t="s">
        <v>231</v>
      </c>
      <c r="H3" s="163">
        <v>2955</v>
      </c>
      <c r="L3" s="154"/>
    </row>
    <row r="4" spans="1:12" s="152" customFormat="1" x14ac:dyDescent="0.2">
      <c r="B4" s="159" t="s">
        <v>81</v>
      </c>
      <c r="C4" s="160"/>
      <c r="D4" s="160"/>
      <c r="E4" s="161" t="s">
        <v>232</v>
      </c>
      <c r="F4" s="153"/>
      <c r="G4" s="152" t="s">
        <v>233</v>
      </c>
      <c r="H4" s="163">
        <v>1500</v>
      </c>
      <c r="L4" s="164"/>
    </row>
    <row r="5" spans="1:12" s="152" customFormat="1" x14ac:dyDescent="0.2">
      <c r="B5" s="159" t="s">
        <v>234</v>
      </c>
      <c r="C5" s="160"/>
      <c r="D5" s="160"/>
      <c r="E5" s="161" t="s">
        <v>235</v>
      </c>
      <c r="F5" s="153"/>
      <c r="G5" s="152" t="s">
        <v>236</v>
      </c>
      <c r="H5" s="163">
        <v>750</v>
      </c>
      <c r="L5" s="164"/>
    </row>
    <row r="6" spans="1:12" s="152" customFormat="1" x14ac:dyDescent="0.2">
      <c r="B6" s="159" t="s">
        <v>237</v>
      </c>
      <c r="C6" s="160"/>
      <c r="D6" s="160"/>
      <c r="E6" s="161" t="s">
        <v>238</v>
      </c>
      <c r="F6" s="153"/>
      <c r="G6" s="162" t="s">
        <v>239</v>
      </c>
      <c r="H6" s="163">
        <f>+H25</f>
        <v>3546.8275421213598</v>
      </c>
      <c r="I6" s="154"/>
      <c r="J6" s="154"/>
      <c r="K6" s="154"/>
      <c r="L6" s="164"/>
    </row>
    <row r="7" spans="1:12" s="152" customFormat="1" x14ac:dyDescent="0.2">
      <c r="B7" s="159" t="s">
        <v>240</v>
      </c>
      <c r="C7" s="160"/>
      <c r="D7" s="160"/>
      <c r="E7" s="161" t="s">
        <v>241</v>
      </c>
      <c r="F7" s="153"/>
      <c r="G7" s="165" t="s">
        <v>242</v>
      </c>
      <c r="H7" s="166">
        <f>+H6/H3</f>
        <v>1.2002800480952147</v>
      </c>
      <c r="I7" s="154"/>
      <c r="J7" s="154"/>
      <c r="K7" s="154"/>
      <c r="L7" s="164"/>
    </row>
    <row r="8" spans="1:12" s="152" customFormat="1" x14ac:dyDescent="0.2">
      <c r="B8" s="159" t="s">
        <v>243</v>
      </c>
      <c r="C8" s="160"/>
      <c r="D8" s="160"/>
      <c r="E8" s="167" t="s">
        <v>244</v>
      </c>
      <c r="F8" s="153"/>
      <c r="I8" s="154"/>
      <c r="J8" s="154"/>
      <c r="K8" s="154"/>
      <c r="L8" s="164"/>
    </row>
    <row r="9" spans="1:12" s="152" customFormat="1" x14ac:dyDescent="0.2">
      <c r="B9" s="168" t="s">
        <v>245</v>
      </c>
      <c r="C9" s="169"/>
      <c r="D9" s="169"/>
      <c r="E9" s="170" t="s">
        <v>246</v>
      </c>
      <c r="F9" s="153"/>
      <c r="G9" s="153"/>
      <c r="H9" s="154"/>
      <c r="I9" s="154"/>
      <c r="J9" s="154"/>
      <c r="K9" s="154"/>
      <c r="L9" s="164"/>
    </row>
    <row r="10" spans="1:12" x14ac:dyDescent="0.2">
      <c r="A10" s="151"/>
      <c r="B10" s="152"/>
      <c r="C10" s="153"/>
      <c r="D10" s="153"/>
      <c r="L10" s="171"/>
    </row>
    <row r="11" spans="1:12" x14ac:dyDescent="0.2">
      <c r="A11" s="172"/>
      <c r="B11" s="156" t="s">
        <v>247</v>
      </c>
      <c r="C11" s="158"/>
      <c r="D11" s="173"/>
      <c r="E11" s="158"/>
      <c r="F11" s="174"/>
      <c r="G11" s="174"/>
      <c r="H11" s="174"/>
      <c r="I11" s="175"/>
      <c r="J11" s="176"/>
      <c r="K11" s="176"/>
    </row>
    <row r="12" spans="1:12" x14ac:dyDescent="0.2">
      <c r="A12" s="172"/>
      <c r="B12" s="177" t="s">
        <v>248</v>
      </c>
      <c r="C12" s="178"/>
      <c r="D12" s="179"/>
      <c r="E12" s="180">
        <f>F25/C25</f>
        <v>44.685785536159599</v>
      </c>
      <c r="F12" s="174"/>
      <c r="G12" s="174"/>
      <c r="H12" s="174"/>
      <c r="I12" s="175"/>
      <c r="J12" s="151"/>
      <c r="K12" s="151"/>
    </row>
    <row r="13" spans="1:12" x14ac:dyDescent="0.2">
      <c r="A13" s="172"/>
      <c r="B13" s="177" t="s">
        <v>249</v>
      </c>
      <c r="C13" s="178"/>
      <c r="D13" s="179"/>
      <c r="E13" s="180">
        <f>+E15/E14</f>
        <v>2.0299251870324189</v>
      </c>
      <c r="F13" s="174"/>
      <c r="G13" s="174"/>
      <c r="H13" s="174"/>
      <c r="I13" s="175"/>
      <c r="J13" s="151"/>
      <c r="K13" s="151"/>
    </row>
    <row r="14" spans="1:12" x14ac:dyDescent="0.2">
      <c r="A14" s="172"/>
      <c r="B14" s="177" t="s">
        <v>250</v>
      </c>
      <c r="C14" s="178"/>
      <c r="D14" s="179"/>
      <c r="E14" s="181">
        <f>+C25</f>
        <v>401</v>
      </c>
      <c r="F14" s="174"/>
      <c r="G14" s="174"/>
      <c r="H14" s="174"/>
      <c r="I14" s="175"/>
      <c r="J14" s="151"/>
      <c r="K14" s="151"/>
    </row>
    <row r="15" spans="1:12" x14ac:dyDescent="0.2">
      <c r="A15" s="172"/>
      <c r="B15" s="177" t="s">
        <v>251</v>
      </c>
      <c r="C15" s="178"/>
      <c r="D15" s="179"/>
      <c r="E15" s="181">
        <f>+SUMPRODUCT(M34:M38,P34:P38)</f>
        <v>814</v>
      </c>
      <c r="F15" s="174"/>
      <c r="G15" s="174"/>
      <c r="H15" s="174"/>
      <c r="I15" s="175"/>
      <c r="J15" s="151"/>
      <c r="K15" s="151"/>
    </row>
    <row r="16" spans="1:12" x14ac:dyDescent="0.2">
      <c r="A16" s="172"/>
      <c r="B16" s="177" t="s">
        <v>188</v>
      </c>
      <c r="C16" s="178"/>
      <c r="D16" s="179"/>
      <c r="E16" s="181">
        <v>23293</v>
      </c>
      <c r="F16" s="174"/>
      <c r="G16" s="174"/>
      <c r="H16" s="174"/>
      <c r="I16" s="175"/>
      <c r="J16" s="151"/>
      <c r="K16" s="151"/>
    </row>
    <row r="17" spans="1:23" x14ac:dyDescent="0.2">
      <c r="A17" s="151"/>
      <c r="B17" s="177" t="s">
        <v>191</v>
      </c>
      <c r="C17" s="178"/>
      <c r="D17" s="179"/>
      <c r="E17" s="181">
        <f>F25</f>
        <v>17919</v>
      </c>
      <c r="F17" s="182"/>
      <c r="G17" s="182"/>
      <c r="H17" s="182"/>
      <c r="M17" s="172"/>
      <c r="R17" s="152"/>
    </row>
    <row r="18" spans="1:23" outlineLevel="1" x14ac:dyDescent="0.2">
      <c r="A18" s="151"/>
      <c r="B18" s="183" t="s">
        <v>252</v>
      </c>
      <c r="C18" s="160"/>
      <c r="D18" s="160"/>
      <c r="E18" s="181">
        <v>4408</v>
      </c>
      <c r="F18" s="182"/>
      <c r="G18" s="182"/>
      <c r="H18" s="182"/>
      <c r="M18" s="172"/>
      <c r="R18" s="152"/>
    </row>
    <row r="19" spans="1:23" s="152" customFormat="1" x14ac:dyDescent="0.2">
      <c r="B19" s="184" t="s">
        <v>253</v>
      </c>
      <c r="C19" s="184"/>
      <c r="D19" s="184"/>
      <c r="E19" s="185">
        <f>E17/E16</f>
        <v>0.76928691023054141</v>
      </c>
      <c r="F19" s="182"/>
      <c r="G19" s="182"/>
      <c r="H19" s="182"/>
      <c r="I19" s="154"/>
      <c r="J19" s="151"/>
      <c r="K19" s="151"/>
      <c r="L19" s="154"/>
      <c r="M19" s="186"/>
    </row>
    <row r="20" spans="1:23" x14ac:dyDescent="0.2">
      <c r="A20" s="151"/>
      <c r="B20" s="152"/>
      <c r="C20" s="153"/>
      <c r="D20" s="153"/>
      <c r="G20" s="187"/>
      <c r="H20" s="182"/>
      <c r="J20" s="151"/>
      <c r="K20" s="151"/>
      <c r="M20" s="172"/>
      <c r="R20" s="152"/>
    </row>
    <row r="21" spans="1:23" x14ac:dyDescent="0.2">
      <c r="A21" s="151"/>
      <c r="B21" s="152"/>
      <c r="C21" s="153"/>
      <c r="D21" s="153"/>
      <c r="E21" s="188"/>
      <c r="F21" s="187"/>
      <c r="G21" s="182"/>
      <c r="M21" s="172"/>
      <c r="R21" s="152"/>
    </row>
    <row r="22" spans="1:23" x14ac:dyDescent="0.2">
      <c r="A22" s="151"/>
      <c r="B22" s="152"/>
      <c r="C22" s="153"/>
      <c r="D22" s="153"/>
      <c r="F22" s="187"/>
      <c r="G22" s="182"/>
      <c r="M22" s="172"/>
      <c r="R22" s="152"/>
    </row>
    <row r="23" spans="1:23" x14ac:dyDescent="0.2">
      <c r="A23" s="151"/>
      <c r="B23" s="156" t="s">
        <v>254</v>
      </c>
      <c r="C23" s="406" t="s">
        <v>255</v>
      </c>
      <c r="D23" s="406"/>
      <c r="E23" s="406"/>
      <c r="F23" s="406"/>
      <c r="G23" s="406"/>
      <c r="H23" s="406"/>
      <c r="I23" s="406"/>
      <c r="J23" s="406"/>
      <c r="K23" s="190"/>
      <c r="L23" s="189" t="s">
        <v>256</v>
      </c>
      <c r="R23" s="152"/>
      <c r="S23" s="191"/>
      <c r="T23" s="191"/>
      <c r="U23" s="191"/>
      <c r="V23" s="191"/>
      <c r="W23" s="191"/>
    </row>
    <row r="24" spans="1:23" s="192" customFormat="1" ht="22.5" x14ac:dyDescent="0.2">
      <c r="B24" s="193"/>
      <c r="C24" s="193" t="s">
        <v>257</v>
      </c>
      <c r="D24" s="194" t="s">
        <v>258</v>
      </c>
      <c r="E24" s="193" t="s">
        <v>259</v>
      </c>
      <c r="F24" s="193" t="s">
        <v>260</v>
      </c>
      <c r="G24" s="195" t="s">
        <v>261</v>
      </c>
      <c r="H24" s="193" t="s">
        <v>262</v>
      </c>
      <c r="I24" s="193" t="s">
        <v>263</v>
      </c>
      <c r="J24" s="195" t="s">
        <v>264</v>
      </c>
      <c r="K24" s="195"/>
      <c r="L24" s="195" t="s">
        <v>265</v>
      </c>
      <c r="N24" s="151"/>
      <c r="O24" s="151"/>
      <c r="P24" s="151"/>
      <c r="Q24" s="151"/>
      <c r="R24" s="152"/>
      <c r="S24" s="151"/>
      <c r="T24" s="151"/>
      <c r="U24" s="151"/>
      <c r="V24" s="151"/>
      <c r="W24" s="151"/>
    </row>
    <row r="25" spans="1:23" ht="12" thickBot="1" x14ac:dyDescent="0.25">
      <c r="A25" s="151"/>
      <c r="B25" s="196"/>
      <c r="C25" s="197">
        <f>+SUM(C26:C426)</f>
        <v>401</v>
      </c>
      <c r="D25" s="198"/>
      <c r="E25" s="154"/>
      <c r="F25" s="197">
        <f>+SUM(F26:F426)</f>
        <v>17919</v>
      </c>
      <c r="G25" s="197"/>
      <c r="H25" s="197">
        <f>+J25/F25</f>
        <v>3546.8275421213598</v>
      </c>
      <c r="I25" s="197">
        <f>+SUM(I26:I426)</f>
        <v>5296300.2272727042</v>
      </c>
      <c r="J25" s="197">
        <f>+SUM(J26:J426)</f>
        <v>63555602.727272645</v>
      </c>
      <c r="K25" s="197"/>
      <c r="L25" s="199">
        <f>SUM(L26:L425)</f>
        <v>2529000</v>
      </c>
      <c r="R25" s="191"/>
      <c r="S25" s="191"/>
      <c r="T25" s="191"/>
      <c r="U25" s="191"/>
      <c r="V25" s="191"/>
      <c r="W25" s="191"/>
    </row>
    <row r="26" spans="1:23" ht="12" thickTop="1" x14ac:dyDescent="0.2">
      <c r="A26" s="151"/>
      <c r="B26" s="200"/>
      <c r="C26" s="201">
        <v>1</v>
      </c>
      <c r="D26" s="202"/>
      <c r="E26" s="201">
        <v>1</v>
      </c>
      <c r="F26" s="201">
        <v>30</v>
      </c>
      <c r="G26" s="201">
        <f t="shared" ref="G26:G89" si="0">IF(E26=1,34,IF(E26=2,40,IF(E26=3,44,IF(E26=4,49,IF(E26=5,52,IF(E26=6,55,IF(E26=1.5,27,IF(E26=2.5,34))))))))</f>
        <v>34</v>
      </c>
      <c r="H26" s="201">
        <f t="shared" ref="H26:H89" si="1">+$H$3*(F26+G26)/(1.57142857142857)/F26</f>
        <v>4011.6363636363672</v>
      </c>
      <c r="I26" s="201">
        <f>+F26*H26/12</f>
        <v>10029.090909090917</v>
      </c>
      <c r="J26" s="201">
        <f>+I26*12</f>
        <v>120349.090909091</v>
      </c>
      <c r="K26" s="201"/>
      <c r="L26" s="163">
        <f t="shared" ref="L26:L89" si="2">$H$4*12</f>
        <v>18000</v>
      </c>
      <c r="R26" s="191"/>
      <c r="S26" s="191"/>
      <c r="T26" s="191"/>
      <c r="U26" s="191"/>
      <c r="V26" s="191"/>
      <c r="W26" s="191"/>
    </row>
    <row r="27" spans="1:23" x14ac:dyDescent="0.2">
      <c r="A27" s="151"/>
      <c r="B27" s="203"/>
      <c r="C27" s="204">
        <v>1</v>
      </c>
      <c r="D27" s="205"/>
      <c r="E27" s="204">
        <v>2</v>
      </c>
      <c r="F27" s="204">
        <v>55</v>
      </c>
      <c r="G27" s="204">
        <f t="shared" si="0"/>
        <v>40</v>
      </c>
      <c r="H27" s="204">
        <f t="shared" si="1"/>
        <v>3248.0578512396723</v>
      </c>
      <c r="I27" s="204">
        <f t="shared" ref="I27:I90" si="3">+F27*H27/12</f>
        <v>14886.931818181831</v>
      </c>
      <c r="J27" s="204">
        <f t="shared" ref="J27:J90" si="4">+I27*12</f>
        <v>178643.18181818197</v>
      </c>
      <c r="K27" s="204"/>
      <c r="L27" s="163">
        <f t="shared" si="2"/>
        <v>18000</v>
      </c>
      <c r="R27" s="191"/>
      <c r="S27" s="191"/>
      <c r="T27" s="191"/>
      <c r="U27" s="191"/>
      <c r="V27" s="191"/>
      <c r="W27" s="191"/>
    </row>
    <row r="28" spans="1:23" x14ac:dyDescent="0.2">
      <c r="A28" s="151"/>
      <c r="B28" s="203"/>
      <c r="C28" s="204">
        <v>1</v>
      </c>
      <c r="D28" s="205"/>
      <c r="E28" s="204">
        <v>2</v>
      </c>
      <c r="F28" s="204">
        <v>34</v>
      </c>
      <c r="G28" s="204">
        <f t="shared" si="0"/>
        <v>40</v>
      </c>
      <c r="H28" s="204">
        <f t="shared" si="1"/>
        <v>4092.754010695191</v>
      </c>
      <c r="I28" s="204">
        <f t="shared" si="3"/>
        <v>11596.136363636375</v>
      </c>
      <c r="J28" s="204">
        <f t="shared" si="4"/>
        <v>139153.6363636365</v>
      </c>
      <c r="K28" s="204"/>
      <c r="L28" s="163">
        <f t="shared" si="2"/>
        <v>18000</v>
      </c>
      <c r="R28" s="191"/>
      <c r="S28" s="191"/>
      <c r="T28" s="191"/>
      <c r="U28" s="191"/>
      <c r="V28" s="191"/>
      <c r="W28" s="191"/>
    </row>
    <row r="29" spans="1:23" x14ac:dyDescent="0.2">
      <c r="A29" s="151"/>
      <c r="B29" s="203"/>
      <c r="C29" s="204">
        <v>1</v>
      </c>
      <c r="D29" s="205"/>
      <c r="E29" s="204">
        <v>3</v>
      </c>
      <c r="F29" s="204">
        <v>64</v>
      </c>
      <c r="G29" s="204">
        <f t="shared" si="0"/>
        <v>44</v>
      </c>
      <c r="H29" s="204">
        <f t="shared" si="1"/>
        <v>3173.2670454545482</v>
      </c>
      <c r="I29" s="204">
        <f t="shared" si="3"/>
        <v>16924.090909090923</v>
      </c>
      <c r="J29" s="204">
        <f t="shared" si="4"/>
        <v>203089.09090909106</v>
      </c>
      <c r="K29" s="204"/>
      <c r="L29" s="163">
        <f t="shared" si="2"/>
        <v>18000</v>
      </c>
      <c r="N29" s="206"/>
      <c r="O29" s="207"/>
      <c r="P29" s="207"/>
      <c r="Q29" s="207"/>
      <c r="R29" s="191"/>
      <c r="S29" s="191"/>
      <c r="T29" s="191"/>
      <c r="U29" s="191"/>
      <c r="V29" s="191"/>
      <c r="W29" s="191"/>
    </row>
    <row r="30" spans="1:23" x14ac:dyDescent="0.2">
      <c r="A30" s="151"/>
      <c r="B30" s="203"/>
      <c r="C30" s="204">
        <v>1</v>
      </c>
      <c r="D30" s="205"/>
      <c r="E30" s="204">
        <v>4</v>
      </c>
      <c r="F30" s="204">
        <v>84</v>
      </c>
      <c r="G30" s="204">
        <f t="shared" si="0"/>
        <v>49</v>
      </c>
      <c r="H30" s="204">
        <f t="shared" si="1"/>
        <v>2977.3863636363662</v>
      </c>
      <c r="I30" s="204">
        <f t="shared" si="3"/>
        <v>20841.704545454562</v>
      </c>
      <c r="J30" s="204">
        <f t="shared" si="4"/>
        <v>250100.45454545476</v>
      </c>
      <c r="K30" s="204"/>
      <c r="L30" s="163">
        <f t="shared" si="2"/>
        <v>18000</v>
      </c>
      <c r="N30" s="206"/>
      <c r="O30" s="207"/>
      <c r="P30" s="207"/>
      <c r="Q30" s="207"/>
      <c r="R30" s="191"/>
      <c r="S30" s="191"/>
      <c r="T30" s="191"/>
      <c r="U30" s="191"/>
      <c r="V30" s="191"/>
      <c r="W30" s="191"/>
    </row>
    <row r="31" spans="1:23" x14ac:dyDescent="0.2">
      <c r="A31" s="151"/>
      <c r="B31" s="203"/>
      <c r="C31" s="204">
        <v>1</v>
      </c>
      <c r="D31" s="205"/>
      <c r="E31" s="204">
        <v>2</v>
      </c>
      <c r="F31" s="204">
        <v>34</v>
      </c>
      <c r="G31" s="204">
        <f t="shared" si="0"/>
        <v>40</v>
      </c>
      <c r="H31" s="204">
        <f t="shared" si="1"/>
        <v>4092.754010695191</v>
      </c>
      <c r="I31" s="204">
        <f t="shared" si="3"/>
        <v>11596.136363636375</v>
      </c>
      <c r="J31" s="204">
        <f t="shared" si="4"/>
        <v>139153.6363636365</v>
      </c>
      <c r="K31" s="204"/>
      <c r="L31" s="163">
        <f t="shared" si="2"/>
        <v>18000</v>
      </c>
      <c r="N31" s="208"/>
      <c r="O31" s="208"/>
      <c r="P31" s="158"/>
      <c r="Q31" s="158"/>
      <c r="R31" s="191"/>
      <c r="S31" s="191"/>
      <c r="T31" s="191"/>
      <c r="U31" s="191"/>
      <c r="V31" s="191"/>
      <c r="W31" s="191"/>
    </row>
    <row r="32" spans="1:23" ht="9" customHeight="1" x14ac:dyDescent="0.2">
      <c r="A32" s="151"/>
      <c r="B32" s="203"/>
      <c r="C32" s="204">
        <v>1</v>
      </c>
      <c r="D32" s="205"/>
      <c r="E32" s="204">
        <v>3</v>
      </c>
      <c r="F32" s="204">
        <v>64</v>
      </c>
      <c r="G32" s="204">
        <f t="shared" si="0"/>
        <v>44</v>
      </c>
      <c r="H32" s="204">
        <f t="shared" si="1"/>
        <v>3173.2670454545482</v>
      </c>
      <c r="I32" s="204">
        <f t="shared" si="3"/>
        <v>16924.090909090923</v>
      </c>
      <c r="J32" s="204">
        <f t="shared" si="4"/>
        <v>203089.09090909106</v>
      </c>
      <c r="K32" s="204"/>
      <c r="L32" s="163">
        <f t="shared" si="2"/>
        <v>18000</v>
      </c>
      <c r="N32" s="209" t="s">
        <v>266</v>
      </c>
      <c r="O32" s="210" t="s">
        <v>248</v>
      </c>
      <c r="P32" s="210" t="s">
        <v>257</v>
      </c>
      <c r="Q32" s="211" t="s">
        <v>267</v>
      </c>
      <c r="R32" s="191"/>
      <c r="S32" s="191"/>
      <c r="T32" s="191"/>
      <c r="U32" s="191"/>
      <c r="V32" s="191"/>
      <c r="W32" s="191"/>
    </row>
    <row r="33" spans="1:27" ht="12" thickBot="1" x14ac:dyDescent="0.25">
      <c r="A33" s="151"/>
      <c r="B33" s="203"/>
      <c r="C33" s="204">
        <v>1</v>
      </c>
      <c r="D33" s="205"/>
      <c r="E33" s="204">
        <v>4</v>
      </c>
      <c r="F33" s="204">
        <v>84</v>
      </c>
      <c r="G33" s="204">
        <f t="shared" si="0"/>
        <v>49</v>
      </c>
      <c r="H33" s="204">
        <f t="shared" si="1"/>
        <v>2977.3863636363662</v>
      </c>
      <c r="I33" s="204">
        <f t="shared" si="3"/>
        <v>20841.704545454562</v>
      </c>
      <c r="J33" s="204">
        <f t="shared" si="4"/>
        <v>250100.45454545476</v>
      </c>
      <c r="K33" s="204"/>
      <c r="L33" s="163">
        <f t="shared" si="2"/>
        <v>18000</v>
      </c>
      <c r="N33" s="212"/>
      <c r="O33" s="213">
        <f>+F25/P33</f>
        <v>44.797499999999999</v>
      </c>
      <c r="P33" s="213">
        <f>+SUM(P34:P38)</f>
        <v>400</v>
      </c>
      <c r="Q33" s="214">
        <f>+SUM(Q34:Q38)</f>
        <v>1</v>
      </c>
      <c r="R33" s="191"/>
    </row>
    <row r="34" spans="1:27" ht="12" thickTop="1" x14ac:dyDescent="0.2">
      <c r="A34" s="151"/>
      <c r="B34" s="203"/>
      <c r="C34" s="204">
        <v>1</v>
      </c>
      <c r="D34" s="205"/>
      <c r="E34" s="204">
        <v>2</v>
      </c>
      <c r="F34" s="204">
        <v>34</v>
      </c>
      <c r="G34" s="204">
        <f t="shared" si="0"/>
        <v>40</v>
      </c>
      <c r="H34" s="204">
        <f t="shared" si="1"/>
        <v>4092.754010695191</v>
      </c>
      <c r="I34" s="204">
        <f t="shared" si="3"/>
        <v>11596.136363636375</v>
      </c>
      <c r="J34" s="204">
        <f t="shared" si="4"/>
        <v>139153.6363636365</v>
      </c>
      <c r="K34" s="204"/>
      <c r="L34" s="163">
        <f t="shared" si="2"/>
        <v>18000</v>
      </c>
      <c r="M34" s="151">
        <v>1</v>
      </c>
      <c r="N34" s="215">
        <v>1</v>
      </c>
      <c r="O34" s="216">
        <f>IFERROR(SUMIF($E$26:$E$425,$M34,$F$26:$F$425)/P34,"")</f>
        <v>29.212598425196852</v>
      </c>
      <c r="P34" s="183">
        <f>IFERROR(SUMIF($E$26:$E$425,$M34,$C$26:$C$425),"")</f>
        <v>127</v>
      </c>
      <c r="Q34" s="217">
        <f>+P34/$P$33</f>
        <v>0.3175</v>
      </c>
    </row>
    <row r="35" spans="1:27" x14ac:dyDescent="0.2">
      <c r="A35" s="151"/>
      <c r="B35" s="203"/>
      <c r="C35" s="204">
        <v>1</v>
      </c>
      <c r="D35" s="205"/>
      <c r="E35" s="204">
        <v>3</v>
      </c>
      <c r="F35" s="204">
        <v>64</v>
      </c>
      <c r="G35" s="204">
        <f t="shared" si="0"/>
        <v>44</v>
      </c>
      <c r="H35" s="204">
        <f t="shared" si="1"/>
        <v>3173.2670454545482</v>
      </c>
      <c r="I35" s="204">
        <f t="shared" si="3"/>
        <v>16924.090909090923</v>
      </c>
      <c r="J35" s="204">
        <f t="shared" si="4"/>
        <v>203089.09090909106</v>
      </c>
      <c r="K35" s="204"/>
      <c r="L35" s="163">
        <f t="shared" si="2"/>
        <v>18000</v>
      </c>
      <c r="M35" s="151">
        <v>2</v>
      </c>
      <c r="N35" s="215">
        <v>2</v>
      </c>
      <c r="O35" s="216">
        <f>IFERROR(SUMIF($E$26:$E$425,$M35,$F$26:$F$425)/P35,"")</f>
        <v>40.509554140127392</v>
      </c>
      <c r="P35" s="183">
        <f>IFERROR(SUMIF($E$26:$E$425,$M35,$C$26:$C$425),"")</f>
        <v>157</v>
      </c>
      <c r="Q35" s="217">
        <f>+P35/$P$33</f>
        <v>0.39250000000000002</v>
      </c>
    </row>
    <row r="36" spans="1:27" x14ac:dyDescent="0.2">
      <c r="A36" s="151"/>
      <c r="B36" s="203"/>
      <c r="C36" s="204">
        <v>1</v>
      </c>
      <c r="D36" s="205"/>
      <c r="E36" s="204">
        <v>4</v>
      </c>
      <c r="F36" s="204">
        <v>84</v>
      </c>
      <c r="G36" s="204">
        <f t="shared" si="0"/>
        <v>49</v>
      </c>
      <c r="H36" s="204">
        <f t="shared" si="1"/>
        <v>2977.3863636363662</v>
      </c>
      <c r="I36" s="204">
        <f t="shared" si="3"/>
        <v>20841.704545454562</v>
      </c>
      <c r="J36" s="204">
        <f t="shared" si="4"/>
        <v>250100.45454545476</v>
      </c>
      <c r="K36" s="204"/>
      <c r="L36" s="163">
        <f t="shared" si="2"/>
        <v>18000</v>
      </c>
      <c r="M36" s="151">
        <v>3</v>
      </c>
      <c r="N36" s="215">
        <v>3</v>
      </c>
      <c r="O36" s="216">
        <f>IFERROR(SUMIF($E$26:$E$425,$M36,$F$26:$F$425)/P36,"")</f>
        <v>61.142857142857146</v>
      </c>
      <c r="P36" s="183">
        <f>IFERROR(SUMIF($E$26:$E$425,$M36,$C$26:$C$425),"")</f>
        <v>91</v>
      </c>
      <c r="Q36" s="218">
        <f>+P36/$P$33</f>
        <v>0.22750000000000001</v>
      </c>
    </row>
    <row r="37" spans="1:27" x14ac:dyDescent="0.2">
      <c r="A37" s="151"/>
      <c r="B37" s="203"/>
      <c r="C37" s="204">
        <v>1</v>
      </c>
      <c r="D37" s="205"/>
      <c r="E37" s="204">
        <v>2</v>
      </c>
      <c r="F37" s="204">
        <v>34</v>
      </c>
      <c r="G37" s="204">
        <f t="shared" si="0"/>
        <v>40</v>
      </c>
      <c r="H37" s="204">
        <f t="shared" si="1"/>
        <v>4092.754010695191</v>
      </c>
      <c r="I37" s="204">
        <f t="shared" si="3"/>
        <v>11596.136363636375</v>
      </c>
      <c r="J37" s="204">
        <f t="shared" si="4"/>
        <v>139153.6363636365</v>
      </c>
      <c r="K37" s="204"/>
      <c r="L37" s="163">
        <f t="shared" si="2"/>
        <v>18000</v>
      </c>
      <c r="M37" s="151">
        <v>4</v>
      </c>
      <c r="N37" s="154">
        <v>4</v>
      </c>
      <c r="O37" s="216">
        <f>IFERROR(SUMIF($E$26:$E$425,$M37,$F$26:$F$425)/P37,"")</f>
        <v>86.76</v>
      </c>
      <c r="P37" s="183">
        <f>IFERROR(SUMIF($E$26:$E$425,$M37,$C$26:$C$425),"")</f>
        <v>25</v>
      </c>
      <c r="Q37" s="217">
        <f>+P37/$P$33</f>
        <v>6.25E-2</v>
      </c>
    </row>
    <row r="38" spans="1:27" ht="12" thickBot="1" x14ac:dyDescent="0.25">
      <c r="A38" s="151"/>
      <c r="B38" s="203"/>
      <c r="C38" s="204">
        <v>1</v>
      </c>
      <c r="D38" s="205"/>
      <c r="E38" s="204">
        <v>3</v>
      </c>
      <c r="F38" s="204">
        <v>62</v>
      </c>
      <c r="G38" s="204">
        <f t="shared" si="0"/>
        <v>44</v>
      </c>
      <c r="H38" s="204">
        <f t="shared" si="1"/>
        <v>3214.9706744868063</v>
      </c>
      <c r="I38" s="204">
        <f t="shared" si="3"/>
        <v>16610.681818181834</v>
      </c>
      <c r="J38" s="204">
        <f t="shared" si="4"/>
        <v>199328.181818182</v>
      </c>
      <c r="K38" s="204"/>
      <c r="L38" s="163">
        <f t="shared" si="2"/>
        <v>18000</v>
      </c>
      <c r="M38" s="151">
        <v>5</v>
      </c>
      <c r="N38" s="219">
        <v>5</v>
      </c>
      <c r="O38" s="220">
        <v>0</v>
      </c>
      <c r="P38" s="221">
        <f>IFERROR(SUMIF($E$26:$E$207,$M38,$C$26:$C$207),"")</f>
        <v>0</v>
      </c>
      <c r="Q38" s="221">
        <f>+P38/$P$33</f>
        <v>0</v>
      </c>
    </row>
    <row r="39" spans="1:27" ht="12" thickTop="1" x14ac:dyDescent="0.2">
      <c r="A39" s="151"/>
      <c r="B39" s="203"/>
      <c r="C39" s="204">
        <v>1</v>
      </c>
      <c r="D39" s="205"/>
      <c r="E39" s="204">
        <v>4</v>
      </c>
      <c r="F39" s="204">
        <v>83</v>
      </c>
      <c r="G39" s="204">
        <f t="shared" si="0"/>
        <v>49</v>
      </c>
      <c r="H39" s="204">
        <f t="shared" si="1"/>
        <v>2990.6024096385568</v>
      </c>
      <c r="I39" s="204">
        <f t="shared" si="3"/>
        <v>20685.000000000018</v>
      </c>
      <c r="J39" s="204">
        <f t="shared" si="4"/>
        <v>248220.00000000023</v>
      </c>
      <c r="K39" s="204"/>
      <c r="L39" s="163">
        <f t="shared" si="2"/>
        <v>18000</v>
      </c>
    </row>
    <row r="40" spans="1:27" x14ac:dyDescent="0.2">
      <c r="A40" s="151"/>
      <c r="B40" s="203"/>
      <c r="C40" s="204">
        <v>1</v>
      </c>
      <c r="D40" s="205"/>
      <c r="E40" s="204">
        <v>1</v>
      </c>
      <c r="F40" s="204">
        <v>30</v>
      </c>
      <c r="G40" s="204">
        <f t="shared" si="0"/>
        <v>34</v>
      </c>
      <c r="H40" s="204">
        <f t="shared" si="1"/>
        <v>4011.6363636363672</v>
      </c>
      <c r="I40" s="204">
        <f t="shared" si="3"/>
        <v>10029.090909090917</v>
      </c>
      <c r="J40" s="204">
        <f t="shared" si="4"/>
        <v>120349.090909091</v>
      </c>
      <c r="K40" s="204"/>
      <c r="L40" s="163">
        <f t="shared" si="2"/>
        <v>18000</v>
      </c>
      <c r="Q40" s="222"/>
    </row>
    <row r="41" spans="1:27" x14ac:dyDescent="0.2">
      <c r="A41" s="151"/>
      <c r="B41" s="203"/>
      <c r="C41" s="204">
        <v>1</v>
      </c>
      <c r="D41" s="205"/>
      <c r="E41" s="204">
        <v>2</v>
      </c>
      <c r="F41" s="204">
        <v>55</v>
      </c>
      <c r="G41" s="204">
        <f t="shared" si="0"/>
        <v>40</v>
      </c>
      <c r="H41" s="204">
        <f t="shared" si="1"/>
        <v>3248.0578512396723</v>
      </c>
      <c r="I41" s="204">
        <f t="shared" si="3"/>
        <v>14886.931818181831</v>
      </c>
      <c r="J41" s="204">
        <f t="shared" si="4"/>
        <v>178643.18181818197</v>
      </c>
      <c r="K41" s="204"/>
      <c r="L41" s="163">
        <f t="shared" si="2"/>
        <v>18000</v>
      </c>
      <c r="Q41" s="222"/>
      <c r="T41" s="223"/>
      <c r="U41" s="223"/>
      <c r="V41" s="223"/>
      <c r="W41" s="223"/>
      <c r="X41" s="224"/>
      <c r="Y41" s="224"/>
      <c r="Z41" s="224"/>
      <c r="AA41" s="224"/>
    </row>
    <row r="42" spans="1:27" x14ac:dyDescent="0.2">
      <c r="A42" s="151"/>
      <c r="B42" s="203"/>
      <c r="C42" s="204">
        <v>1</v>
      </c>
      <c r="D42" s="205"/>
      <c r="E42" s="204">
        <v>3</v>
      </c>
      <c r="F42" s="204">
        <v>64</v>
      </c>
      <c r="G42" s="204">
        <f t="shared" si="0"/>
        <v>44</v>
      </c>
      <c r="H42" s="204">
        <f t="shared" si="1"/>
        <v>3173.2670454545482</v>
      </c>
      <c r="I42" s="204">
        <f t="shared" si="3"/>
        <v>16924.090909090923</v>
      </c>
      <c r="J42" s="204">
        <f t="shared" si="4"/>
        <v>203089.09090909106</v>
      </c>
      <c r="K42" s="204"/>
      <c r="L42" s="163">
        <f t="shared" si="2"/>
        <v>18000</v>
      </c>
      <c r="T42" s="223"/>
      <c r="U42" s="223"/>
      <c r="V42" s="223"/>
      <c r="W42" s="223"/>
      <c r="X42" s="224"/>
      <c r="Y42" s="224"/>
      <c r="Z42" s="224"/>
      <c r="AA42" s="224"/>
    </row>
    <row r="43" spans="1:27" x14ac:dyDescent="0.2">
      <c r="A43" s="151"/>
      <c r="B43" s="203"/>
      <c r="C43" s="204">
        <v>1</v>
      </c>
      <c r="D43" s="205"/>
      <c r="E43" s="204">
        <v>1</v>
      </c>
      <c r="F43" s="204">
        <v>30</v>
      </c>
      <c r="G43" s="204">
        <f t="shared" si="0"/>
        <v>34</v>
      </c>
      <c r="H43" s="204">
        <f t="shared" si="1"/>
        <v>4011.6363636363672</v>
      </c>
      <c r="I43" s="204">
        <f t="shared" si="3"/>
        <v>10029.090909090917</v>
      </c>
      <c r="J43" s="204">
        <f t="shared" si="4"/>
        <v>120349.090909091</v>
      </c>
      <c r="K43" s="204"/>
      <c r="L43" s="163">
        <f t="shared" si="2"/>
        <v>18000</v>
      </c>
      <c r="T43" s="223"/>
      <c r="U43" s="223"/>
      <c r="V43" s="223"/>
      <c r="W43" s="223"/>
      <c r="X43" s="224"/>
      <c r="Y43" s="224"/>
      <c r="Z43" s="224"/>
      <c r="AA43" s="224"/>
    </row>
    <row r="44" spans="1:27" x14ac:dyDescent="0.2">
      <c r="A44" s="151"/>
      <c r="B44" s="203"/>
      <c r="C44" s="204">
        <v>1</v>
      </c>
      <c r="D44" s="205"/>
      <c r="E44" s="204">
        <v>2</v>
      </c>
      <c r="F44" s="204">
        <v>34</v>
      </c>
      <c r="G44" s="204">
        <f t="shared" si="0"/>
        <v>40</v>
      </c>
      <c r="H44" s="204">
        <f t="shared" si="1"/>
        <v>4092.754010695191</v>
      </c>
      <c r="I44" s="204">
        <f t="shared" si="3"/>
        <v>11596.136363636375</v>
      </c>
      <c r="J44" s="204">
        <f t="shared" si="4"/>
        <v>139153.6363636365</v>
      </c>
      <c r="K44" s="204"/>
      <c r="L44" s="163">
        <f t="shared" si="2"/>
        <v>18000</v>
      </c>
      <c r="T44" s="224"/>
      <c r="U44" s="224"/>
      <c r="V44" s="224"/>
      <c r="W44" s="224"/>
      <c r="X44" s="224"/>
      <c r="Y44" s="224"/>
      <c r="Z44" s="224"/>
      <c r="AA44" s="224"/>
    </row>
    <row r="45" spans="1:27" ht="12" customHeight="1" x14ac:dyDescent="0.2">
      <c r="A45" s="151"/>
      <c r="B45" s="203"/>
      <c r="C45" s="204">
        <v>1</v>
      </c>
      <c r="D45" s="205"/>
      <c r="E45" s="204">
        <v>3</v>
      </c>
      <c r="F45" s="204">
        <v>64</v>
      </c>
      <c r="G45" s="204">
        <f t="shared" si="0"/>
        <v>44</v>
      </c>
      <c r="H45" s="204">
        <f t="shared" si="1"/>
        <v>3173.2670454545482</v>
      </c>
      <c r="I45" s="204">
        <f t="shared" si="3"/>
        <v>16924.090909090923</v>
      </c>
      <c r="J45" s="204">
        <f t="shared" si="4"/>
        <v>203089.09090909106</v>
      </c>
      <c r="K45" s="204"/>
      <c r="L45" s="163">
        <f t="shared" si="2"/>
        <v>18000</v>
      </c>
      <c r="T45" s="225"/>
      <c r="U45" s="225"/>
      <c r="V45" s="225"/>
      <c r="W45" s="225"/>
      <c r="X45" s="224"/>
      <c r="Y45" s="224"/>
      <c r="Z45" s="224"/>
      <c r="AA45" s="224"/>
    </row>
    <row r="46" spans="1:27" x14ac:dyDescent="0.2">
      <c r="A46" s="151"/>
      <c r="B46" s="203"/>
      <c r="C46" s="204">
        <v>1</v>
      </c>
      <c r="D46" s="205"/>
      <c r="E46" s="204">
        <v>3</v>
      </c>
      <c r="F46" s="204">
        <v>64</v>
      </c>
      <c r="G46" s="204">
        <f t="shared" si="0"/>
        <v>44</v>
      </c>
      <c r="H46" s="204">
        <f t="shared" si="1"/>
        <v>3173.2670454545482</v>
      </c>
      <c r="I46" s="204">
        <f t="shared" si="3"/>
        <v>16924.090909090923</v>
      </c>
      <c r="J46" s="204">
        <f t="shared" si="4"/>
        <v>203089.09090909106</v>
      </c>
      <c r="K46" s="204"/>
      <c r="L46" s="163">
        <f t="shared" si="2"/>
        <v>18000</v>
      </c>
      <c r="T46" s="226"/>
      <c r="U46" s="226"/>
      <c r="V46" s="226"/>
      <c r="W46" s="226"/>
      <c r="X46" s="224"/>
      <c r="Y46" s="224"/>
      <c r="Z46" s="224"/>
      <c r="AA46" s="224"/>
    </row>
    <row r="47" spans="1:27" x14ac:dyDescent="0.2">
      <c r="A47" s="151"/>
      <c r="B47" s="203"/>
      <c r="C47" s="204">
        <v>1</v>
      </c>
      <c r="D47" s="205"/>
      <c r="E47" s="204">
        <v>2</v>
      </c>
      <c r="F47" s="204">
        <v>34</v>
      </c>
      <c r="G47" s="204">
        <f t="shared" si="0"/>
        <v>40</v>
      </c>
      <c r="H47" s="204">
        <f t="shared" si="1"/>
        <v>4092.754010695191</v>
      </c>
      <c r="I47" s="204">
        <f t="shared" si="3"/>
        <v>11596.136363636375</v>
      </c>
      <c r="J47" s="204">
        <f t="shared" si="4"/>
        <v>139153.6363636365</v>
      </c>
      <c r="K47" s="204"/>
      <c r="L47" s="163">
        <f t="shared" si="2"/>
        <v>18000</v>
      </c>
      <c r="T47" s="223"/>
      <c r="U47" s="223"/>
      <c r="V47" s="223"/>
      <c r="W47" s="223"/>
      <c r="X47" s="224"/>
      <c r="Y47" s="224"/>
      <c r="Z47" s="224"/>
      <c r="AA47" s="224"/>
    </row>
    <row r="48" spans="1:27" x14ac:dyDescent="0.2">
      <c r="A48" s="151"/>
      <c r="B48" s="203"/>
      <c r="C48" s="204">
        <v>1</v>
      </c>
      <c r="D48" s="205"/>
      <c r="E48" s="204">
        <v>2</v>
      </c>
      <c r="F48" s="204">
        <v>34</v>
      </c>
      <c r="G48" s="204">
        <f t="shared" si="0"/>
        <v>40</v>
      </c>
      <c r="H48" s="204">
        <f t="shared" si="1"/>
        <v>4092.754010695191</v>
      </c>
      <c r="I48" s="204">
        <f t="shared" si="3"/>
        <v>11596.136363636375</v>
      </c>
      <c r="J48" s="204">
        <f t="shared" si="4"/>
        <v>139153.6363636365</v>
      </c>
      <c r="K48" s="204"/>
      <c r="L48" s="163">
        <f t="shared" si="2"/>
        <v>18000</v>
      </c>
      <c r="T48" s="224"/>
      <c r="U48" s="224"/>
      <c r="V48" s="224"/>
      <c r="W48" s="224"/>
      <c r="X48" s="224"/>
      <c r="Y48" s="224"/>
      <c r="Z48" s="224"/>
      <c r="AA48" s="224"/>
    </row>
    <row r="49" spans="1:27" x14ac:dyDescent="0.2">
      <c r="A49" s="151"/>
      <c r="B49" s="203"/>
      <c r="C49" s="204">
        <v>1</v>
      </c>
      <c r="D49" s="205"/>
      <c r="E49" s="204">
        <v>3</v>
      </c>
      <c r="F49" s="204">
        <v>64</v>
      </c>
      <c r="G49" s="204">
        <f t="shared" si="0"/>
        <v>44</v>
      </c>
      <c r="H49" s="204">
        <f t="shared" si="1"/>
        <v>3173.2670454545482</v>
      </c>
      <c r="I49" s="204">
        <f t="shared" si="3"/>
        <v>16924.090909090923</v>
      </c>
      <c r="J49" s="204">
        <f t="shared" si="4"/>
        <v>203089.09090909106</v>
      </c>
      <c r="K49" s="204"/>
      <c r="L49" s="163">
        <f t="shared" si="2"/>
        <v>18000</v>
      </c>
      <c r="T49" s="224"/>
      <c r="U49" s="224"/>
      <c r="V49" s="224"/>
      <c r="W49" s="224"/>
      <c r="X49" s="224"/>
      <c r="Y49" s="224"/>
      <c r="Z49" s="224"/>
      <c r="AA49" s="224"/>
    </row>
    <row r="50" spans="1:27" x14ac:dyDescent="0.2">
      <c r="A50" s="151"/>
      <c r="B50" s="203"/>
      <c r="C50" s="204">
        <v>1</v>
      </c>
      <c r="D50" s="205"/>
      <c r="E50" s="204">
        <v>3</v>
      </c>
      <c r="F50" s="204">
        <v>64</v>
      </c>
      <c r="G50" s="204">
        <f t="shared" si="0"/>
        <v>44</v>
      </c>
      <c r="H50" s="204">
        <f t="shared" si="1"/>
        <v>3173.2670454545482</v>
      </c>
      <c r="I50" s="204">
        <f t="shared" si="3"/>
        <v>16924.090909090923</v>
      </c>
      <c r="J50" s="204">
        <f t="shared" si="4"/>
        <v>203089.09090909106</v>
      </c>
      <c r="K50" s="204"/>
      <c r="L50" s="163">
        <f t="shared" si="2"/>
        <v>18000</v>
      </c>
      <c r="T50" s="224"/>
      <c r="U50" s="224"/>
      <c r="V50" s="224"/>
      <c r="W50" s="224"/>
      <c r="X50" s="224"/>
      <c r="Y50" s="224"/>
      <c r="Z50" s="224"/>
      <c r="AA50" s="224"/>
    </row>
    <row r="51" spans="1:27" x14ac:dyDescent="0.2">
      <c r="A51" s="151"/>
      <c r="B51" s="203"/>
      <c r="C51" s="204">
        <v>1</v>
      </c>
      <c r="D51" s="205"/>
      <c r="E51" s="204">
        <v>2</v>
      </c>
      <c r="F51" s="204">
        <v>34</v>
      </c>
      <c r="G51" s="204">
        <f t="shared" si="0"/>
        <v>40</v>
      </c>
      <c r="H51" s="204">
        <f t="shared" si="1"/>
        <v>4092.754010695191</v>
      </c>
      <c r="I51" s="204">
        <f t="shared" si="3"/>
        <v>11596.136363636375</v>
      </c>
      <c r="J51" s="204">
        <f t="shared" si="4"/>
        <v>139153.6363636365</v>
      </c>
      <c r="K51" s="204"/>
      <c r="L51" s="163">
        <f t="shared" si="2"/>
        <v>18000</v>
      </c>
      <c r="T51" s="224"/>
      <c r="U51" s="224"/>
      <c r="V51" s="224"/>
      <c r="W51" s="224"/>
      <c r="X51" s="224"/>
      <c r="Y51" s="224"/>
      <c r="Z51" s="224"/>
      <c r="AA51" s="224"/>
    </row>
    <row r="52" spans="1:27" x14ac:dyDescent="0.2">
      <c r="A52" s="151"/>
      <c r="B52" s="203"/>
      <c r="C52" s="204">
        <v>1</v>
      </c>
      <c r="D52" s="205"/>
      <c r="E52" s="204">
        <v>2</v>
      </c>
      <c r="F52" s="204">
        <v>34</v>
      </c>
      <c r="G52" s="204">
        <f t="shared" si="0"/>
        <v>40</v>
      </c>
      <c r="H52" s="204">
        <f t="shared" si="1"/>
        <v>4092.754010695191</v>
      </c>
      <c r="I52" s="204">
        <f t="shared" si="3"/>
        <v>11596.136363636375</v>
      </c>
      <c r="J52" s="204">
        <f t="shared" si="4"/>
        <v>139153.6363636365</v>
      </c>
      <c r="K52" s="204"/>
      <c r="L52" s="163">
        <f t="shared" si="2"/>
        <v>18000</v>
      </c>
      <c r="T52" s="224"/>
      <c r="U52" s="224"/>
      <c r="V52" s="224"/>
      <c r="W52" s="224"/>
      <c r="X52" s="224"/>
      <c r="Y52" s="224"/>
      <c r="Z52" s="224"/>
      <c r="AA52" s="224"/>
    </row>
    <row r="53" spans="1:27" x14ac:dyDescent="0.2">
      <c r="A53" s="151"/>
      <c r="B53" s="203"/>
      <c r="C53" s="204">
        <v>1</v>
      </c>
      <c r="D53" s="205"/>
      <c r="E53" s="204">
        <v>3</v>
      </c>
      <c r="F53" s="204">
        <v>64</v>
      </c>
      <c r="G53" s="204">
        <f t="shared" si="0"/>
        <v>44</v>
      </c>
      <c r="H53" s="204">
        <f t="shared" si="1"/>
        <v>3173.2670454545482</v>
      </c>
      <c r="I53" s="204">
        <f t="shared" si="3"/>
        <v>16924.090909090923</v>
      </c>
      <c r="J53" s="204">
        <f t="shared" si="4"/>
        <v>203089.09090909106</v>
      </c>
      <c r="K53" s="204"/>
      <c r="L53" s="163">
        <f t="shared" si="2"/>
        <v>18000</v>
      </c>
      <c r="Q53" s="222"/>
      <c r="T53" s="224"/>
      <c r="U53" s="224"/>
      <c r="V53" s="224"/>
      <c r="W53" s="224"/>
      <c r="X53" s="224"/>
      <c r="Y53" s="224"/>
      <c r="Z53" s="224"/>
      <c r="AA53" s="224"/>
    </row>
    <row r="54" spans="1:27" x14ac:dyDescent="0.2">
      <c r="A54" s="151"/>
      <c r="B54" s="203"/>
      <c r="C54" s="204">
        <v>1</v>
      </c>
      <c r="D54" s="205"/>
      <c r="E54" s="204">
        <v>3</v>
      </c>
      <c r="F54" s="204">
        <v>64</v>
      </c>
      <c r="G54" s="204">
        <f t="shared" si="0"/>
        <v>44</v>
      </c>
      <c r="H54" s="204">
        <f t="shared" si="1"/>
        <v>3173.2670454545482</v>
      </c>
      <c r="I54" s="204">
        <f t="shared" si="3"/>
        <v>16924.090909090923</v>
      </c>
      <c r="J54" s="204">
        <f t="shared" si="4"/>
        <v>203089.09090909106</v>
      </c>
      <c r="K54" s="204"/>
      <c r="L54" s="163">
        <f t="shared" si="2"/>
        <v>18000</v>
      </c>
      <c r="Q54" s="222"/>
      <c r="T54" s="224"/>
      <c r="U54" s="224"/>
      <c r="V54" s="224"/>
      <c r="W54" s="224"/>
      <c r="X54" s="224"/>
      <c r="Y54" s="224"/>
      <c r="Z54" s="224"/>
      <c r="AA54" s="224"/>
    </row>
    <row r="55" spans="1:27" x14ac:dyDescent="0.2">
      <c r="A55" s="151"/>
      <c r="B55" s="203"/>
      <c r="C55" s="204">
        <v>1</v>
      </c>
      <c r="D55" s="205"/>
      <c r="E55" s="204">
        <v>2</v>
      </c>
      <c r="F55" s="204">
        <v>34</v>
      </c>
      <c r="G55" s="204">
        <f t="shared" si="0"/>
        <v>40</v>
      </c>
      <c r="H55" s="204">
        <f t="shared" si="1"/>
        <v>4092.754010695191</v>
      </c>
      <c r="I55" s="204">
        <f t="shared" si="3"/>
        <v>11596.136363636375</v>
      </c>
      <c r="J55" s="204">
        <f t="shared" si="4"/>
        <v>139153.6363636365</v>
      </c>
      <c r="K55" s="204"/>
      <c r="L55" s="163">
        <f t="shared" si="2"/>
        <v>18000</v>
      </c>
      <c r="T55" s="224"/>
      <c r="U55" s="224"/>
      <c r="V55" s="224"/>
      <c r="W55" s="224"/>
      <c r="X55" s="224"/>
      <c r="Y55" s="224"/>
      <c r="Z55" s="224"/>
      <c r="AA55" s="224"/>
    </row>
    <row r="56" spans="1:27" x14ac:dyDescent="0.2">
      <c r="A56" s="151"/>
      <c r="B56" s="203"/>
      <c r="C56" s="204">
        <v>1</v>
      </c>
      <c r="D56" s="205"/>
      <c r="E56" s="204">
        <v>2</v>
      </c>
      <c r="F56" s="204">
        <v>34</v>
      </c>
      <c r="G56" s="204">
        <f t="shared" si="0"/>
        <v>40</v>
      </c>
      <c r="H56" s="204">
        <f t="shared" si="1"/>
        <v>4092.754010695191</v>
      </c>
      <c r="I56" s="204">
        <f t="shared" si="3"/>
        <v>11596.136363636375</v>
      </c>
      <c r="J56" s="204">
        <f t="shared" si="4"/>
        <v>139153.6363636365</v>
      </c>
      <c r="K56" s="204"/>
      <c r="L56" s="163">
        <f t="shared" si="2"/>
        <v>18000</v>
      </c>
      <c r="T56" s="224"/>
      <c r="U56" s="224"/>
      <c r="V56" s="224"/>
      <c r="W56" s="224"/>
      <c r="X56" s="224"/>
      <c r="Y56" s="224"/>
      <c r="Z56" s="224"/>
      <c r="AA56" s="224"/>
    </row>
    <row r="57" spans="1:27" x14ac:dyDescent="0.2">
      <c r="A57" s="151"/>
      <c r="B57" s="203"/>
      <c r="C57" s="204">
        <v>1</v>
      </c>
      <c r="D57" s="205"/>
      <c r="E57" s="204">
        <v>3</v>
      </c>
      <c r="F57" s="204">
        <v>64</v>
      </c>
      <c r="G57" s="204">
        <f t="shared" si="0"/>
        <v>44</v>
      </c>
      <c r="H57" s="204">
        <f t="shared" si="1"/>
        <v>3173.2670454545482</v>
      </c>
      <c r="I57" s="204">
        <f t="shared" si="3"/>
        <v>16924.090909090923</v>
      </c>
      <c r="J57" s="204">
        <f t="shared" si="4"/>
        <v>203089.09090909106</v>
      </c>
      <c r="K57" s="204"/>
      <c r="L57" s="163">
        <f t="shared" si="2"/>
        <v>18000</v>
      </c>
    </row>
    <row r="58" spans="1:27" x14ac:dyDescent="0.2">
      <c r="A58" s="151"/>
      <c r="B58" s="203"/>
      <c r="C58" s="204">
        <v>1</v>
      </c>
      <c r="D58" s="205"/>
      <c r="E58" s="204">
        <v>3</v>
      </c>
      <c r="F58" s="204">
        <v>64</v>
      </c>
      <c r="G58" s="204">
        <f t="shared" si="0"/>
        <v>44</v>
      </c>
      <c r="H58" s="204">
        <f t="shared" si="1"/>
        <v>3173.2670454545482</v>
      </c>
      <c r="I58" s="204">
        <f t="shared" si="3"/>
        <v>16924.090909090923</v>
      </c>
      <c r="J58" s="204">
        <f t="shared" si="4"/>
        <v>203089.09090909106</v>
      </c>
      <c r="K58" s="204"/>
      <c r="L58" s="163">
        <f t="shared" si="2"/>
        <v>18000</v>
      </c>
    </row>
    <row r="59" spans="1:27" x14ac:dyDescent="0.2">
      <c r="A59" s="151"/>
      <c r="B59" s="203"/>
      <c r="C59" s="204">
        <v>1</v>
      </c>
      <c r="D59" s="205"/>
      <c r="E59" s="204">
        <v>2</v>
      </c>
      <c r="F59" s="204">
        <v>34</v>
      </c>
      <c r="G59" s="204">
        <f t="shared" si="0"/>
        <v>40</v>
      </c>
      <c r="H59" s="204">
        <f t="shared" si="1"/>
        <v>4092.754010695191</v>
      </c>
      <c r="I59" s="204">
        <f t="shared" si="3"/>
        <v>11596.136363636375</v>
      </c>
      <c r="J59" s="204">
        <f t="shared" si="4"/>
        <v>139153.6363636365</v>
      </c>
      <c r="K59" s="204"/>
      <c r="L59" s="163">
        <f t="shared" si="2"/>
        <v>18000</v>
      </c>
    </row>
    <row r="60" spans="1:27" x14ac:dyDescent="0.2">
      <c r="A60" s="151"/>
      <c r="B60" s="203"/>
      <c r="C60" s="204">
        <v>1</v>
      </c>
      <c r="D60" s="205"/>
      <c r="E60" s="204">
        <v>2</v>
      </c>
      <c r="F60" s="204">
        <v>34</v>
      </c>
      <c r="G60" s="204">
        <f t="shared" si="0"/>
        <v>40</v>
      </c>
      <c r="H60" s="204">
        <f t="shared" si="1"/>
        <v>4092.754010695191</v>
      </c>
      <c r="I60" s="204">
        <f t="shared" si="3"/>
        <v>11596.136363636375</v>
      </c>
      <c r="J60" s="204">
        <f t="shared" si="4"/>
        <v>139153.6363636365</v>
      </c>
      <c r="K60" s="204"/>
      <c r="L60" s="163">
        <f t="shared" si="2"/>
        <v>18000</v>
      </c>
    </row>
    <row r="61" spans="1:27" x14ac:dyDescent="0.2">
      <c r="A61" s="151"/>
      <c r="B61" s="203"/>
      <c r="C61" s="204">
        <v>1</v>
      </c>
      <c r="D61" s="205"/>
      <c r="E61" s="204">
        <v>3</v>
      </c>
      <c r="F61" s="204">
        <v>62</v>
      </c>
      <c r="G61" s="204">
        <f t="shared" si="0"/>
        <v>44</v>
      </c>
      <c r="H61" s="204">
        <f t="shared" si="1"/>
        <v>3214.9706744868063</v>
      </c>
      <c r="I61" s="204">
        <f t="shared" si="3"/>
        <v>16610.681818181834</v>
      </c>
      <c r="J61" s="204">
        <f t="shared" si="4"/>
        <v>199328.181818182</v>
      </c>
      <c r="K61" s="204"/>
      <c r="L61" s="163">
        <f t="shared" si="2"/>
        <v>18000</v>
      </c>
    </row>
    <row r="62" spans="1:27" x14ac:dyDescent="0.2">
      <c r="A62" s="151"/>
      <c r="B62" s="203"/>
      <c r="C62" s="204">
        <v>1</v>
      </c>
      <c r="D62" s="205"/>
      <c r="E62" s="204">
        <v>3</v>
      </c>
      <c r="F62" s="204">
        <v>62</v>
      </c>
      <c r="G62" s="204">
        <f t="shared" si="0"/>
        <v>44</v>
      </c>
      <c r="H62" s="204">
        <f t="shared" si="1"/>
        <v>3214.9706744868063</v>
      </c>
      <c r="I62" s="204">
        <f t="shared" si="3"/>
        <v>16610.681818181834</v>
      </c>
      <c r="J62" s="204">
        <f t="shared" si="4"/>
        <v>199328.181818182</v>
      </c>
      <c r="K62" s="204"/>
      <c r="L62" s="163">
        <f t="shared" si="2"/>
        <v>18000</v>
      </c>
    </row>
    <row r="63" spans="1:27" x14ac:dyDescent="0.2">
      <c r="A63" s="151"/>
      <c r="B63" s="203"/>
      <c r="C63" s="204">
        <v>1</v>
      </c>
      <c r="D63" s="205"/>
      <c r="E63" s="204">
        <v>2</v>
      </c>
      <c r="F63" s="204">
        <v>34</v>
      </c>
      <c r="G63" s="204">
        <f t="shared" si="0"/>
        <v>40</v>
      </c>
      <c r="H63" s="204">
        <f t="shared" si="1"/>
        <v>4092.754010695191</v>
      </c>
      <c r="I63" s="204">
        <f t="shared" si="3"/>
        <v>11596.136363636375</v>
      </c>
      <c r="J63" s="204">
        <f t="shared" si="4"/>
        <v>139153.6363636365</v>
      </c>
      <c r="K63" s="204"/>
      <c r="L63" s="163">
        <f t="shared" si="2"/>
        <v>18000</v>
      </c>
    </row>
    <row r="64" spans="1:27" x14ac:dyDescent="0.2">
      <c r="A64" s="151"/>
      <c r="B64" s="203"/>
      <c r="C64" s="204">
        <v>1</v>
      </c>
      <c r="D64" s="205"/>
      <c r="E64" s="204">
        <v>3</v>
      </c>
      <c r="F64" s="204">
        <v>66</v>
      </c>
      <c r="G64" s="204">
        <f t="shared" si="0"/>
        <v>44</v>
      </c>
      <c r="H64" s="204">
        <f t="shared" si="1"/>
        <v>3134.0909090909117</v>
      </c>
      <c r="I64" s="204">
        <f t="shared" si="3"/>
        <v>17237.500000000015</v>
      </c>
      <c r="J64" s="204">
        <f t="shared" si="4"/>
        <v>206850.00000000017</v>
      </c>
      <c r="K64" s="204"/>
      <c r="L64" s="163">
        <f t="shared" si="2"/>
        <v>18000</v>
      </c>
    </row>
    <row r="65" spans="1:17" x14ac:dyDescent="0.2">
      <c r="A65" s="151"/>
      <c r="B65" s="203"/>
      <c r="C65" s="204">
        <v>1</v>
      </c>
      <c r="D65" s="205"/>
      <c r="E65" s="204">
        <v>1</v>
      </c>
      <c r="F65" s="204">
        <v>28</v>
      </c>
      <c r="G65" s="204">
        <f t="shared" si="0"/>
        <v>34</v>
      </c>
      <c r="H65" s="204">
        <f t="shared" si="1"/>
        <v>4163.8636363636406</v>
      </c>
      <c r="I65" s="204">
        <f t="shared" si="3"/>
        <v>9715.6818181818289</v>
      </c>
      <c r="J65" s="204">
        <f t="shared" si="4"/>
        <v>116588.18181818194</v>
      </c>
      <c r="K65" s="204"/>
      <c r="L65" s="163">
        <f t="shared" si="2"/>
        <v>18000</v>
      </c>
    </row>
    <row r="66" spans="1:17" x14ac:dyDescent="0.2">
      <c r="A66" s="151"/>
      <c r="B66" s="203"/>
      <c r="C66" s="204">
        <v>1</v>
      </c>
      <c r="D66" s="205"/>
      <c r="E66" s="204">
        <v>1</v>
      </c>
      <c r="F66" s="204">
        <v>34</v>
      </c>
      <c r="G66" s="204">
        <f t="shared" si="0"/>
        <v>34</v>
      </c>
      <c r="H66" s="204">
        <f t="shared" si="1"/>
        <v>3760.9090909090942</v>
      </c>
      <c r="I66" s="204">
        <f t="shared" si="3"/>
        <v>10655.909090909101</v>
      </c>
      <c r="J66" s="204">
        <f t="shared" si="4"/>
        <v>127870.9090909092</v>
      </c>
      <c r="K66" s="204"/>
      <c r="L66" s="163">
        <f t="shared" si="2"/>
        <v>18000</v>
      </c>
      <c r="Q66" s="222"/>
    </row>
    <row r="67" spans="1:17" x14ac:dyDescent="0.2">
      <c r="A67" s="151"/>
      <c r="B67" s="203"/>
      <c r="C67" s="204">
        <v>1</v>
      </c>
      <c r="D67" s="205"/>
      <c r="E67" s="204">
        <v>1</v>
      </c>
      <c r="F67" s="204">
        <v>34</v>
      </c>
      <c r="G67" s="204">
        <f t="shared" si="0"/>
        <v>34</v>
      </c>
      <c r="H67" s="204">
        <f t="shared" si="1"/>
        <v>3760.9090909090942</v>
      </c>
      <c r="I67" s="204">
        <f t="shared" si="3"/>
        <v>10655.909090909101</v>
      </c>
      <c r="J67" s="204">
        <f t="shared" si="4"/>
        <v>127870.9090909092</v>
      </c>
      <c r="K67" s="204"/>
      <c r="L67" s="163">
        <f t="shared" si="2"/>
        <v>18000</v>
      </c>
      <c r="Q67" s="222"/>
    </row>
    <row r="68" spans="1:17" x14ac:dyDescent="0.2">
      <c r="A68" s="151"/>
      <c r="B68" s="203"/>
      <c r="C68" s="204">
        <v>1</v>
      </c>
      <c r="D68" s="205"/>
      <c r="E68" s="204">
        <v>1</v>
      </c>
      <c r="F68" s="204">
        <v>34</v>
      </c>
      <c r="G68" s="204">
        <f t="shared" si="0"/>
        <v>34</v>
      </c>
      <c r="H68" s="204">
        <f t="shared" si="1"/>
        <v>3760.9090909090942</v>
      </c>
      <c r="I68" s="204">
        <f t="shared" si="3"/>
        <v>10655.909090909101</v>
      </c>
      <c r="J68" s="204">
        <f t="shared" si="4"/>
        <v>127870.9090909092</v>
      </c>
      <c r="K68" s="204"/>
      <c r="L68" s="163">
        <f t="shared" si="2"/>
        <v>18000</v>
      </c>
      <c r="Q68" s="222"/>
    </row>
    <row r="69" spans="1:17" x14ac:dyDescent="0.2">
      <c r="A69" s="151"/>
      <c r="B69" s="203"/>
      <c r="C69" s="204">
        <v>1</v>
      </c>
      <c r="D69" s="205"/>
      <c r="E69" s="204">
        <v>4</v>
      </c>
      <c r="F69" s="204">
        <v>87</v>
      </c>
      <c r="G69" s="204">
        <f t="shared" si="0"/>
        <v>49</v>
      </c>
      <c r="H69" s="204">
        <f t="shared" si="1"/>
        <v>2939.5611285266482</v>
      </c>
      <c r="I69" s="204">
        <f t="shared" si="3"/>
        <v>21311.818181818198</v>
      </c>
      <c r="J69" s="204">
        <f t="shared" si="4"/>
        <v>255741.81818181838</v>
      </c>
      <c r="K69" s="204"/>
      <c r="L69" s="163">
        <f t="shared" si="2"/>
        <v>18000</v>
      </c>
      <c r="Q69" s="222"/>
    </row>
    <row r="70" spans="1:17" x14ac:dyDescent="0.2">
      <c r="A70" s="151"/>
      <c r="B70" s="203"/>
      <c r="C70" s="204">
        <v>1</v>
      </c>
      <c r="D70" s="205"/>
      <c r="E70" s="204">
        <v>3</v>
      </c>
      <c r="F70" s="204">
        <v>66</v>
      </c>
      <c r="G70" s="204">
        <f t="shared" si="0"/>
        <v>44</v>
      </c>
      <c r="H70" s="204">
        <f t="shared" si="1"/>
        <v>3134.0909090909117</v>
      </c>
      <c r="I70" s="204">
        <f t="shared" si="3"/>
        <v>17237.500000000015</v>
      </c>
      <c r="J70" s="204">
        <f t="shared" si="4"/>
        <v>206850.00000000017</v>
      </c>
      <c r="K70" s="204"/>
      <c r="L70" s="163">
        <f t="shared" si="2"/>
        <v>18000</v>
      </c>
      <c r="Q70" s="222"/>
    </row>
    <row r="71" spans="1:17" x14ac:dyDescent="0.2">
      <c r="A71" s="151"/>
      <c r="B71" s="203"/>
      <c r="C71" s="204">
        <v>1</v>
      </c>
      <c r="D71" s="205"/>
      <c r="E71" s="204">
        <v>1</v>
      </c>
      <c r="F71" s="204">
        <v>28</v>
      </c>
      <c r="G71" s="204">
        <f t="shared" si="0"/>
        <v>34</v>
      </c>
      <c r="H71" s="204">
        <f t="shared" si="1"/>
        <v>4163.8636363636406</v>
      </c>
      <c r="I71" s="204">
        <f t="shared" si="3"/>
        <v>9715.6818181818289</v>
      </c>
      <c r="J71" s="204">
        <f t="shared" si="4"/>
        <v>116588.18181818194</v>
      </c>
      <c r="K71" s="204"/>
      <c r="L71" s="163">
        <f t="shared" si="2"/>
        <v>18000</v>
      </c>
    </row>
    <row r="72" spans="1:17" x14ac:dyDescent="0.2">
      <c r="A72" s="151"/>
      <c r="B72" s="203"/>
      <c r="C72" s="204">
        <v>1</v>
      </c>
      <c r="D72" s="205"/>
      <c r="E72" s="204">
        <v>1</v>
      </c>
      <c r="F72" s="204">
        <v>34</v>
      </c>
      <c r="G72" s="204">
        <f t="shared" si="0"/>
        <v>34</v>
      </c>
      <c r="H72" s="204">
        <f t="shared" si="1"/>
        <v>3760.9090909090942</v>
      </c>
      <c r="I72" s="204">
        <f t="shared" si="3"/>
        <v>10655.909090909101</v>
      </c>
      <c r="J72" s="204">
        <f t="shared" si="4"/>
        <v>127870.9090909092</v>
      </c>
      <c r="K72" s="204"/>
      <c r="L72" s="163">
        <f t="shared" si="2"/>
        <v>18000</v>
      </c>
    </row>
    <row r="73" spans="1:17" x14ac:dyDescent="0.2">
      <c r="A73" s="151"/>
      <c r="B73" s="203"/>
      <c r="C73" s="204">
        <v>1</v>
      </c>
      <c r="D73" s="205"/>
      <c r="E73" s="204">
        <v>2</v>
      </c>
      <c r="F73" s="204">
        <v>54</v>
      </c>
      <c r="G73" s="204">
        <f t="shared" si="0"/>
        <v>40</v>
      </c>
      <c r="H73" s="204">
        <f t="shared" si="1"/>
        <v>3273.3838383838415</v>
      </c>
      <c r="I73" s="204">
        <f t="shared" si="3"/>
        <v>14730.227272727287</v>
      </c>
      <c r="J73" s="204">
        <f t="shared" si="4"/>
        <v>176762.72727272744</v>
      </c>
      <c r="K73" s="204"/>
      <c r="L73" s="163">
        <f t="shared" si="2"/>
        <v>18000</v>
      </c>
    </row>
    <row r="74" spans="1:17" x14ac:dyDescent="0.2">
      <c r="A74" s="151"/>
      <c r="B74" s="203"/>
      <c r="C74" s="204">
        <v>1</v>
      </c>
      <c r="D74" s="205"/>
      <c r="E74" s="204">
        <v>1</v>
      </c>
      <c r="F74" s="204">
        <v>34</v>
      </c>
      <c r="G74" s="204">
        <f t="shared" si="0"/>
        <v>34</v>
      </c>
      <c r="H74" s="204">
        <f t="shared" si="1"/>
        <v>3760.9090909090942</v>
      </c>
      <c r="I74" s="204">
        <f t="shared" si="3"/>
        <v>10655.909090909101</v>
      </c>
      <c r="J74" s="204">
        <f t="shared" si="4"/>
        <v>127870.9090909092</v>
      </c>
      <c r="K74" s="204"/>
      <c r="L74" s="163">
        <f t="shared" si="2"/>
        <v>18000</v>
      </c>
    </row>
    <row r="75" spans="1:17" x14ac:dyDescent="0.2">
      <c r="A75" s="151"/>
      <c r="B75" s="203"/>
      <c r="C75" s="204">
        <v>1</v>
      </c>
      <c r="D75" s="205"/>
      <c r="E75" s="204">
        <v>4</v>
      </c>
      <c r="F75" s="204">
        <v>87</v>
      </c>
      <c r="G75" s="204">
        <f t="shared" si="0"/>
        <v>49</v>
      </c>
      <c r="H75" s="204">
        <f t="shared" si="1"/>
        <v>2939.5611285266482</v>
      </c>
      <c r="I75" s="204">
        <f t="shared" si="3"/>
        <v>21311.818181818198</v>
      </c>
      <c r="J75" s="204">
        <f t="shared" si="4"/>
        <v>255741.81818181838</v>
      </c>
      <c r="K75" s="204"/>
      <c r="L75" s="163">
        <f t="shared" si="2"/>
        <v>18000</v>
      </c>
    </row>
    <row r="76" spans="1:17" x14ac:dyDescent="0.2">
      <c r="A76" s="151"/>
      <c r="B76" s="203"/>
      <c r="C76" s="204">
        <v>1</v>
      </c>
      <c r="D76" s="205"/>
      <c r="E76" s="204">
        <v>3</v>
      </c>
      <c r="F76" s="204">
        <v>66</v>
      </c>
      <c r="G76" s="204">
        <f t="shared" si="0"/>
        <v>44</v>
      </c>
      <c r="H76" s="204">
        <f t="shared" si="1"/>
        <v>3134.0909090909117</v>
      </c>
      <c r="I76" s="204">
        <f t="shared" si="3"/>
        <v>17237.500000000015</v>
      </c>
      <c r="J76" s="204">
        <f t="shared" si="4"/>
        <v>206850.00000000017</v>
      </c>
      <c r="K76" s="204"/>
      <c r="L76" s="163">
        <f t="shared" si="2"/>
        <v>18000</v>
      </c>
    </row>
    <row r="77" spans="1:17" x14ac:dyDescent="0.2">
      <c r="A77" s="151"/>
      <c r="B77" s="203"/>
      <c r="C77" s="204">
        <v>1</v>
      </c>
      <c r="D77" s="205"/>
      <c r="E77" s="204">
        <v>1</v>
      </c>
      <c r="F77" s="204">
        <v>28</v>
      </c>
      <c r="G77" s="204">
        <f t="shared" si="0"/>
        <v>34</v>
      </c>
      <c r="H77" s="204">
        <f t="shared" si="1"/>
        <v>4163.8636363636406</v>
      </c>
      <c r="I77" s="204">
        <f t="shared" si="3"/>
        <v>9715.6818181818289</v>
      </c>
      <c r="J77" s="204">
        <f t="shared" si="4"/>
        <v>116588.18181818194</v>
      </c>
      <c r="K77" s="204"/>
      <c r="L77" s="163">
        <f t="shared" si="2"/>
        <v>18000</v>
      </c>
    </row>
    <row r="78" spans="1:17" x14ac:dyDescent="0.2">
      <c r="A78" s="151"/>
      <c r="B78" s="203"/>
      <c r="C78" s="204">
        <v>1</v>
      </c>
      <c r="D78" s="205"/>
      <c r="E78" s="204">
        <v>1</v>
      </c>
      <c r="F78" s="204">
        <v>34</v>
      </c>
      <c r="G78" s="204">
        <f t="shared" si="0"/>
        <v>34</v>
      </c>
      <c r="H78" s="204">
        <f t="shared" si="1"/>
        <v>3760.9090909090942</v>
      </c>
      <c r="I78" s="204">
        <f t="shared" si="3"/>
        <v>10655.909090909101</v>
      </c>
      <c r="J78" s="204">
        <f t="shared" si="4"/>
        <v>127870.9090909092</v>
      </c>
      <c r="K78" s="204"/>
      <c r="L78" s="163">
        <f t="shared" si="2"/>
        <v>18000</v>
      </c>
    </row>
    <row r="79" spans="1:17" x14ac:dyDescent="0.2">
      <c r="A79" s="151"/>
      <c r="B79" s="203"/>
      <c r="C79" s="204">
        <v>1</v>
      </c>
      <c r="D79" s="205"/>
      <c r="E79" s="204">
        <v>2</v>
      </c>
      <c r="F79" s="204">
        <v>54</v>
      </c>
      <c r="G79" s="204">
        <f t="shared" si="0"/>
        <v>40</v>
      </c>
      <c r="H79" s="204">
        <f t="shared" si="1"/>
        <v>3273.3838383838415</v>
      </c>
      <c r="I79" s="204">
        <f t="shared" si="3"/>
        <v>14730.227272727287</v>
      </c>
      <c r="J79" s="204">
        <f t="shared" si="4"/>
        <v>176762.72727272744</v>
      </c>
      <c r="K79" s="204"/>
      <c r="L79" s="163">
        <f t="shared" si="2"/>
        <v>18000</v>
      </c>
    </row>
    <row r="80" spans="1:17" x14ac:dyDescent="0.2">
      <c r="A80" s="151"/>
      <c r="B80" s="203"/>
      <c r="C80" s="204">
        <v>1</v>
      </c>
      <c r="D80" s="205"/>
      <c r="E80" s="204">
        <v>1</v>
      </c>
      <c r="F80" s="204">
        <v>34</v>
      </c>
      <c r="G80" s="204">
        <f t="shared" si="0"/>
        <v>34</v>
      </c>
      <c r="H80" s="204">
        <f t="shared" si="1"/>
        <v>3760.9090909090942</v>
      </c>
      <c r="I80" s="204">
        <f t="shared" si="3"/>
        <v>10655.909090909101</v>
      </c>
      <c r="J80" s="204">
        <f t="shared" si="4"/>
        <v>127870.9090909092</v>
      </c>
      <c r="K80" s="204"/>
      <c r="L80" s="163">
        <f t="shared" si="2"/>
        <v>18000</v>
      </c>
    </row>
    <row r="81" spans="1:12" x14ac:dyDescent="0.2">
      <c r="A81" s="151"/>
      <c r="B81" s="203"/>
      <c r="C81" s="204">
        <v>1</v>
      </c>
      <c r="D81" s="205"/>
      <c r="E81" s="204">
        <v>4</v>
      </c>
      <c r="F81" s="204">
        <v>87</v>
      </c>
      <c r="G81" s="204">
        <f t="shared" si="0"/>
        <v>49</v>
      </c>
      <c r="H81" s="204">
        <f t="shared" si="1"/>
        <v>2939.5611285266482</v>
      </c>
      <c r="I81" s="204">
        <f t="shared" si="3"/>
        <v>21311.818181818198</v>
      </c>
      <c r="J81" s="204">
        <f t="shared" si="4"/>
        <v>255741.81818181838</v>
      </c>
      <c r="K81" s="204"/>
      <c r="L81" s="163">
        <f t="shared" si="2"/>
        <v>18000</v>
      </c>
    </row>
    <row r="82" spans="1:12" x14ac:dyDescent="0.2">
      <c r="A82" s="151"/>
      <c r="B82" s="203"/>
      <c r="C82" s="204">
        <v>1</v>
      </c>
      <c r="D82" s="205"/>
      <c r="E82" s="204">
        <v>3</v>
      </c>
      <c r="F82" s="204">
        <v>66</v>
      </c>
      <c r="G82" s="204">
        <f t="shared" si="0"/>
        <v>44</v>
      </c>
      <c r="H82" s="204">
        <f t="shared" si="1"/>
        <v>3134.0909090909117</v>
      </c>
      <c r="I82" s="204">
        <f t="shared" si="3"/>
        <v>17237.500000000015</v>
      </c>
      <c r="J82" s="204">
        <f t="shared" si="4"/>
        <v>206850.00000000017</v>
      </c>
      <c r="K82" s="204"/>
      <c r="L82" s="163">
        <f t="shared" si="2"/>
        <v>18000</v>
      </c>
    </row>
    <row r="83" spans="1:12" x14ac:dyDescent="0.2">
      <c r="A83" s="151"/>
      <c r="B83" s="203"/>
      <c r="C83" s="204">
        <v>1</v>
      </c>
      <c r="D83" s="205"/>
      <c r="E83" s="204">
        <v>1</v>
      </c>
      <c r="F83" s="204">
        <v>28</v>
      </c>
      <c r="G83" s="204">
        <f t="shared" si="0"/>
        <v>34</v>
      </c>
      <c r="H83" s="204">
        <f t="shared" si="1"/>
        <v>4163.8636363636406</v>
      </c>
      <c r="I83" s="204">
        <f t="shared" si="3"/>
        <v>9715.6818181818289</v>
      </c>
      <c r="J83" s="204">
        <f t="shared" si="4"/>
        <v>116588.18181818194</v>
      </c>
      <c r="K83" s="204"/>
      <c r="L83" s="163">
        <f t="shared" si="2"/>
        <v>18000</v>
      </c>
    </row>
    <row r="84" spans="1:12" x14ac:dyDescent="0.2">
      <c r="A84" s="151"/>
      <c r="B84" s="203"/>
      <c r="C84" s="204">
        <v>1</v>
      </c>
      <c r="D84" s="205"/>
      <c r="E84" s="204">
        <v>1</v>
      </c>
      <c r="F84" s="204">
        <v>34</v>
      </c>
      <c r="G84" s="204">
        <f t="shared" si="0"/>
        <v>34</v>
      </c>
      <c r="H84" s="204">
        <f t="shared" si="1"/>
        <v>3760.9090909090942</v>
      </c>
      <c r="I84" s="204">
        <f t="shared" si="3"/>
        <v>10655.909090909101</v>
      </c>
      <c r="J84" s="204">
        <f t="shared" si="4"/>
        <v>127870.9090909092</v>
      </c>
      <c r="K84" s="204"/>
      <c r="L84" s="163">
        <f t="shared" si="2"/>
        <v>18000</v>
      </c>
    </row>
    <row r="85" spans="1:12" x14ac:dyDescent="0.2">
      <c r="A85" s="151"/>
      <c r="B85" s="203"/>
      <c r="C85" s="204">
        <v>1</v>
      </c>
      <c r="D85" s="205"/>
      <c r="E85" s="204">
        <v>2</v>
      </c>
      <c r="F85" s="204">
        <v>54</v>
      </c>
      <c r="G85" s="204">
        <f t="shared" si="0"/>
        <v>40</v>
      </c>
      <c r="H85" s="204">
        <f t="shared" si="1"/>
        <v>3273.3838383838415</v>
      </c>
      <c r="I85" s="204">
        <f t="shared" si="3"/>
        <v>14730.227272727287</v>
      </c>
      <c r="J85" s="204">
        <f t="shared" si="4"/>
        <v>176762.72727272744</v>
      </c>
      <c r="K85" s="204"/>
      <c r="L85" s="163">
        <f t="shared" si="2"/>
        <v>18000</v>
      </c>
    </row>
    <row r="86" spans="1:12" x14ac:dyDescent="0.2">
      <c r="A86" s="151"/>
      <c r="B86" s="203"/>
      <c r="C86" s="204">
        <v>1</v>
      </c>
      <c r="D86" s="205"/>
      <c r="E86" s="204">
        <v>1</v>
      </c>
      <c r="F86" s="204">
        <v>34</v>
      </c>
      <c r="G86" s="204">
        <f t="shared" si="0"/>
        <v>34</v>
      </c>
      <c r="H86" s="204">
        <f t="shared" si="1"/>
        <v>3760.9090909090942</v>
      </c>
      <c r="I86" s="204">
        <f t="shared" si="3"/>
        <v>10655.909090909101</v>
      </c>
      <c r="J86" s="204">
        <f t="shared" si="4"/>
        <v>127870.9090909092</v>
      </c>
      <c r="K86" s="204"/>
      <c r="L86" s="163">
        <f t="shared" si="2"/>
        <v>18000</v>
      </c>
    </row>
    <row r="87" spans="1:12" x14ac:dyDescent="0.2">
      <c r="A87" s="151"/>
      <c r="B87" s="203"/>
      <c r="C87" s="204">
        <v>1</v>
      </c>
      <c r="D87" s="205"/>
      <c r="E87" s="204">
        <v>4</v>
      </c>
      <c r="F87" s="204">
        <v>87</v>
      </c>
      <c r="G87" s="204">
        <f t="shared" si="0"/>
        <v>49</v>
      </c>
      <c r="H87" s="204">
        <f t="shared" si="1"/>
        <v>2939.5611285266482</v>
      </c>
      <c r="I87" s="204">
        <f t="shared" si="3"/>
        <v>21311.818181818198</v>
      </c>
      <c r="J87" s="204">
        <f t="shared" si="4"/>
        <v>255741.81818181838</v>
      </c>
      <c r="K87" s="204"/>
      <c r="L87" s="163">
        <f t="shared" si="2"/>
        <v>18000</v>
      </c>
    </row>
    <row r="88" spans="1:12" x14ac:dyDescent="0.2">
      <c r="A88" s="151"/>
      <c r="B88" s="203"/>
      <c r="C88" s="204">
        <v>1</v>
      </c>
      <c r="D88" s="205"/>
      <c r="E88" s="204">
        <v>3</v>
      </c>
      <c r="F88" s="204">
        <v>66</v>
      </c>
      <c r="G88" s="204">
        <f t="shared" si="0"/>
        <v>44</v>
      </c>
      <c r="H88" s="204">
        <f t="shared" si="1"/>
        <v>3134.0909090909117</v>
      </c>
      <c r="I88" s="204">
        <f t="shared" si="3"/>
        <v>17237.500000000015</v>
      </c>
      <c r="J88" s="204">
        <f t="shared" si="4"/>
        <v>206850.00000000017</v>
      </c>
      <c r="K88" s="204"/>
      <c r="L88" s="163">
        <f t="shared" si="2"/>
        <v>18000</v>
      </c>
    </row>
    <row r="89" spans="1:12" x14ac:dyDescent="0.2">
      <c r="A89" s="151"/>
      <c r="B89" s="203"/>
      <c r="C89" s="204">
        <v>1</v>
      </c>
      <c r="D89" s="205"/>
      <c r="E89" s="204">
        <v>1</v>
      </c>
      <c r="F89" s="204">
        <v>28</v>
      </c>
      <c r="G89" s="204">
        <f t="shared" si="0"/>
        <v>34</v>
      </c>
      <c r="H89" s="204">
        <f t="shared" si="1"/>
        <v>4163.8636363636406</v>
      </c>
      <c r="I89" s="204">
        <f t="shared" si="3"/>
        <v>9715.6818181818289</v>
      </c>
      <c r="J89" s="204">
        <f t="shared" si="4"/>
        <v>116588.18181818194</v>
      </c>
      <c r="K89" s="204"/>
      <c r="L89" s="163">
        <f t="shared" si="2"/>
        <v>18000</v>
      </c>
    </row>
    <row r="90" spans="1:12" x14ac:dyDescent="0.2">
      <c r="A90" s="151"/>
      <c r="B90" s="203"/>
      <c r="C90" s="204">
        <v>1</v>
      </c>
      <c r="D90" s="205"/>
      <c r="E90" s="204">
        <v>1</v>
      </c>
      <c r="F90" s="204">
        <v>34</v>
      </c>
      <c r="G90" s="204">
        <f t="shared" ref="G90:G153" si="5">IF(E90=1,34,IF(E90=2,40,IF(E90=3,44,IF(E90=4,49,IF(E90=5,52,IF(E90=6,55,IF(E90=1.5,27,IF(E90=2.5,34))))))))</f>
        <v>34</v>
      </c>
      <c r="H90" s="204">
        <f t="shared" ref="H90:H153" si="6">+$H$3*(F90+G90)/(1.57142857142857)/F90</f>
        <v>3760.9090909090942</v>
      </c>
      <c r="I90" s="204">
        <f t="shared" si="3"/>
        <v>10655.909090909101</v>
      </c>
      <c r="J90" s="204">
        <f t="shared" si="4"/>
        <v>127870.9090909092</v>
      </c>
      <c r="K90" s="204"/>
      <c r="L90" s="163">
        <f t="shared" ref="L90:L153" si="7">$H$4*12</f>
        <v>18000</v>
      </c>
    </row>
    <row r="91" spans="1:12" x14ac:dyDescent="0.2">
      <c r="A91" s="151"/>
      <c r="B91" s="203"/>
      <c r="C91" s="204">
        <v>1</v>
      </c>
      <c r="D91" s="205"/>
      <c r="E91" s="204">
        <v>2</v>
      </c>
      <c r="F91" s="204">
        <v>54</v>
      </c>
      <c r="G91" s="204">
        <f t="shared" si="5"/>
        <v>40</v>
      </c>
      <c r="H91" s="204">
        <f t="shared" si="6"/>
        <v>3273.3838383838415</v>
      </c>
      <c r="I91" s="204">
        <f t="shared" ref="I91:I154" si="8">+F91*H91/12</f>
        <v>14730.227272727287</v>
      </c>
      <c r="J91" s="204">
        <f t="shared" ref="J91:J154" si="9">+I91*12</f>
        <v>176762.72727272744</v>
      </c>
      <c r="K91" s="204"/>
      <c r="L91" s="163">
        <f t="shared" si="7"/>
        <v>18000</v>
      </c>
    </row>
    <row r="92" spans="1:12" x14ac:dyDescent="0.2">
      <c r="A92" s="151"/>
      <c r="B92" s="203"/>
      <c r="C92" s="204">
        <v>1</v>
      </c>
      <c r="D92" s="205"/>
      <c r="E92" s="204">
        <v>1</v>
      </c>
      <c r="F92" s="204">
        <v>34</v>
      </c>
      <c r="G92" s="204">
        <f t="shared" si="5"/>
        <v>34</v>
      </c>
      <c r="H92" s="204">
        <f t="shared" si="6"/>
        <v>3760.9090909090942</v>
      </c>
      <c r="I92" s="204">
        <f t="shared" si="8"/>
        <v>10655.909090909101</v>
      </c>
      <c r="J92" s="204">
        <f t="shared" si="9"/>
        <v>127870.9090909092</v>
      </c>
      <c r="K92" s="204"/>
      <c r="L92" s="163">
        <f t="shared" si="7"/>
        <v>18000</v>
      </c>
    </row>
    <row r="93" spans="1:12" x14ac:dyDescent="0.2">
      <c r="A93" s="151"/>
      <c r="B93" s="203"/>
      <c r="C93" s="204">
        <v>1</v>
      </c>
      <c r="D93" s="205"/>
      <c r="E93" s="204">
        <v>4</v>
      </c>
      <c r="F93" s="204">
        <v>87</v>
      </c>
      <c r="G93" s="204">
        <f t="shared" si="5"/>
        <v>49</v>
      </c>
      <c r="H93" s="204">
        <f t="shared" si="6"/>
        <v>2939.5611285266482</v>
      </c>
      <c r="I93" s="204">
        <f t="shared" si="8"/>
        <v>21311.818181818198</v>
      </c>
      <c r="J93" s="204">
        <f t="shared" si="9"/>
        <v>255741.81818181838</v>
      </c>
      <c r="K93" s="204"/>
      <c r="L93" s="163">
        <f t="shared" si="7"/>
        <v>18000</v>
      </c>
    </row>
    <row r="94" spans="1:12" x14ac:dyDescent="0.2">
      <c r="A94" s="151"/>
      <c r="B94" s="203"/>
      <c r="C94" s="204">
        <v>1</v>
      </c>
      <c r="D94" s="205"/>
      <c r="E94" s="204">
        <v>3</v>
      </c>
      <c r="F94" s="204">
        <v>66</v>
      </c>
      <c r="G94" s="204">
        <f t="shared" si="5"/>
        <v>44</v>
      </c>
      <c r="H94" s="204">
        <f t="shared" si="6"/>
        <v>3134.0909090909117</v>
      </c>
      <c r="I94" s="204">
        <f t="shared" si="8"/>
        <v>17237.500000000015</v>
      </c>
      <c r="J94" s="204">
        <f t="shared" si="9"/>
        <v>206850.00000000017</v>
      </c>
      <c r="K94" s="204"/>
      <c r="L94" s="163">
        <f t="shared" si="7"/>
        <v>18000</v>
      </c>
    </row>
    <row r="95" spans="1:12" x14ac:dyDescent="0.2">
      <c r="A95" s="151"/>
      <c r="B95" s="203"/>
      <c r="C95" s="204">
        <v>1</v>
      </c>
      <c r="D95" s="205"/>
      <c r="E95" s="204">
        <v>1</v>
      </c>
      <c r="F95" s="204">
        <v>28</v>
      </c>
      <c r="G95" s="204">
        <f t="shared" si="5"/>
        <v>34</v>
      </c>
      <c r="H95" s="204">
        <f t="shared" si="6"/>
        <v>4163.8636363636406</v>
      </c>
      <c r="I95" s="204">
        <f t="shared" si="8"/>
        <v>9715.6818181818289</v>
      </c>
      <c r="J95" s="204">
        <f t="shared" si="9"/>
        <v>116588.18181818194</v>
      </c>
      <c r="K95" s="204"/>
      <c r="L95" s="163">
        <f t="shared" si="7"/>
        <v>18000</v>
      </c>
    </row>
    <row r="96" spans="1:12" x14ac:dyDescent="0.2">
      <c r="A96" s="151"/>
      <c r="B96" s="203"/>
      <c r="C96" s="204">
        <v>1</v>
      </c>
      <c r="D96" s="205"/>
      <c r="E96" s="204">
        <v>1</v>
      </c>
      <c r="F96" s="204">
        <v>34</v>
      </c>
      <c r="G96" s="204">
        <f t="shared" si="5"/>
        <v>34</v>
      </c>
      <c r="H96" s="204">
        <f t="shared" si="6"/>
        <v>3760.9090909090942</v>
      </c>
      <c r="I96" s="204">
        <f t="shared" si="8"/>
        <v>10655.909090909101</v>
      </c>
      <c r="J96" s="204">
        <f t="shared" si="9"/>
        <v>127870.9090909092</v>
      </c>
      <c r="K96" s="204"/>
      <c r="L96" s="163">
        <f t="shared" si="7"/>
        <v>18000</v>
      </c>
    </row>
    <row r="97" spans="1:12" x14ac:dyDescent="0.2">
      <c r="A97" s="151"/>
      <c r="B97" s="203"/>
      <c r="C97" s="204">
        <v>1</v>
      </c>
      <c r="D97" s="205"/>
      <c r="E97" s="204">
        <v>2</v>
      </c>
      <c r="F97" s="204">
        <v>54</v>
      </c>
      <c r="G97" s="204">
        <f t="shared" si="5"/>
        <v>40</v>
      </c>
      <c r="H97" s="204">
        <f t="shared" si="6"/>
        <v>3273.3838383838415</v>
      </c>
      <c r="I97" s="204">
        <f t="shared" si="8"/>
        <v>14730.227272727287</v>
      </c>
      <c r="J97" s="204">
        <f t="shared" si="9"/>
        <v>176762.72727272744</v>
      </c>
      <c r="K97" s="204"/>
      <c r="L97" s="163">
        <f t="shared" si="7"/>
        <v>18000</v>
      </c>
    </row>
    <row r="98" spans="1:12" x14ac:dyDescent="0.2">
      <c r="A98" s="151"/>
      <c r="B98" s="203"/>
      <c r="C98" s="204">
        <v>1</v>
      </c>
      <c r="D98" s="205"/>
      <c r="E98" s="204">
        <v>1</v>
      </c>
      <c r="F98" s="204">
        <v>34</v>
      </c>
      <c r="G98" s="204">
        <f t="shared" si="5"/>
        <v>34</v>
      </c>
      <c r="H98" s="204">
        <f t="shared" si="6"/>
        <v>3760.9090909090942</v>
      </c>
      <c r="I98" s="204">
        <f t="shared" si="8"/>
        <v>10655.909090909101</v>
      </c>
      <c r="J98" s="204">
        <f t="shared" si="9"/>
        <v>127870.9090909092</v>
      </c>
      <c r="K98" s="204"/>
      <c r="L98" s="163">
        <f t="shared" si="7"/>
        <v>18000</v>
      </c>
    </row>
    <row r="99" spans="1:12" x14ac:dyDescent="0.2">
      <c r="A99" s="151"/>
      <c r="B99" s="203"/>
      <c r="C99" s="204">
        <v>1</v>
      </c>
      <c r="D99" s="205"/>
      <c r="E99" s="204">
        <v>4</v>
      </c>
      <c r="F99" s="204">
        <v>87</v>
      </c>
      <c r="G99" s="204">
        <f t="shared" si="5"/>
        <v>49</v>
      </c>
      <c r="H99" s="204">
        <f t="shared" si="6"/>
        <v>2939.5611285266482</v>
      </c>
      <c r="I99" s="204">
        <f t="shared" si="8"/>
        <v>21311.818181818198</v>
      </c>
      <c r="J99" s="204">
        <f t="shared" si="9"/>
        <v>255741.81818181838</v>
      </c>
      <c r="K99" s="204"/>
      <c r="L99" s="163">
        <f t="shared" si="7"/>
        <v>18000</v>
      </c>
    </row>
    <row r="100" spans="1:12" x14ac:dyDescent="0.2">
      <c r="A100" s="151"/>
      <c r="B100" s="203"/>
      <c r="C100" s="204">
        <v>1</v>
      </c>
      <c r="D100" s="205"/>
      <c r="E100" s="204">
        <v>3</v>
      </c>
      <c r="F100" s="204">
        <v>66</v>
      </c>
      <c r="G100" s="204">
        <f t="shared" si="5"/>
        <v>44</v>
      </c>
      <c r="H100" s="204">
        <f t="shared" si="6"/>
        <v>3134.0909090909117</v>
      </c>
      <c r="I100" s="204">
        <f t="shared" si="8"/>
        <v>17237.500000000015</v>
      </c>
      <c r="J100" s="204">
        <f t="shared" si="9"/>
        <v>206850.00000000017</v>
      </c>
      <c r="K100" s="204"/>
      <c r="L100" s="163">
        <f t="shared" si="7"/>
        <v>18000</v>
      </c>
    </row>
    <row r="101" spans="1:12" x14ac:dyDescent="0.2">
      <c r="A101" s="151"/>
      <c r="B101" s="203"/>
      <c r="C101" s="204">
        <v>1</v>
      </c>
      <c r="D101" s="205"/>
      <c r="E101" s="204">
        <v>1</v>
      </c>
      <c r="F101" s="204">
        <v>28</v>
      </c>
      <c r="G101" s="204">
        <f t="shared" si="5"/>
        <v>34</v>
      </c>
      <c r="H101" s="204">
        <f t="shared" si="6"/>
        <v>4163.8636363636406</v>
      </c>
      <c r="I101" s="204">
        <f t="shared" si="8"/>
        <v>9715.6818181818289</v>
      </c>
      <c r="J101" s="204">
        <f t="shared" si="9"/>
        <v>116588.18181818194</v>
      </c>
      <c r="K101" s="204"/>
      <c r="L101" s="163">
        <f t="shared" si="7"/>
        <v>18000</v>
      </c>
    </row>
    <row r="102" spans="1:12" x14ac:dyDescent="0.2">
      <c r="A102" s="151"/>
      <c r="B102" s="203"/>
      <c r="C102" s="204">
        <v>1</v>
      </c>
      <c r="D102" s="205"/>
      <c r="E102" s="204">
        <v>1</v>
      </c>
      <c r="F102" s="204">
        <v>34</v>
      </c>
      <c r="G102" s="204">
        <f t="shared" si="5"/>
        <v>34</v>
      </c>
      <c r="H102" s="204">
        <f t="shared" si="6"/>
        <v>3760.9090909090942</v>
      </c>
      <c r="I102" s="204">
        <f t="shared" si="8"/>
        <v>10655.909090909101</v>
      </c>
      <c r="J102" s="204">
        <f t="shared" si="9"/>
        <v>127870.9090909092</v>
      </c>
      <c r="K102" s="204"/>
      <c r="L102" s="163">
        <f t="shared" si="7"/>
        <v>18000</v>
      </c>
    </row>
    <row r="103" spans="1:12" x14ac:dyDescent="0.2">
      <c r="A103" s="151"/>
      <c r="B103" s="203"/>
      <c r="C103" s="204">
        <v>1</v>
      </c>
      <c r="D103" s="205"/>
      <c r="E103" s="204">
        <v>2</v>
      </c>
      <c r="F103" s="204">
        <v>54</v>
      </c>
      <c r="G103" s="204">
        <f t="shared" si="5"/>
        <v>40</v>
      </c>
      <c r="H103" s="204">
        <f t="shared" si="6"/>
        <v>3273.3838383838415</v>
      </c>
      <c r="I103" s="204">
        <f t="shared" si="8"/>
        <v>14730.227272727287</v>
      </c>
      <c r="J103" s="204">
        <f t="shared" si="9"/>
        <v>176762.72727272744</v>
      </c>
      <c r="K103" s="204"/>
      <c r="L103" s="163">
        <f t="shared" si="7"/>
        <v>18000</v>
      </c>
    </row>
    <row r="104" spans="1:12" x14ac:dyDescent="0.2">
      <c r="A104" s="151"/>
      <c r="B104" s="203"/>
      <c r="C104" s="204">
        <v>1</v>
      </c>
      <c r="D104" s="205"/>
      <c r="E104" s="204">
        <v>1</v>
      </c>
      <c r="F104" s="204">
        <v>34</v>
      </c>
      <c r="G104" s="204">
        <f t="shared" si="5"/>
        <v>34</v>
      </c>
      <c r="H104" s="204">
        <f t="shared" si="6"/>
        <v>3760.9090909090942</v>
      </c>
      <c r="I104" s="204">
        <f t="shared" si="8"/>
        <v>10655.909090909101</v>
      </c>
      <c r="J104" s="204">
        <f t="shared" si="9"/>
        <v>127870.9090909092</v>
      </c>
      <c r="K104" s="204"/>
      <c r="L104" s="163">
        <f t="shared" si="7"/>
        <v>18000</v>
      </c>
    </row>
    <row r="105" spans="1:12" x14ac:dyDescent="0.2">
      <c r="A105" s="151"/>
      <c r="B105" s="203"/>
      <c r="C105" s="204">
        <v>1</v>
      </c>
      <c r="D105" s="205"/>
      <c r="E105" s="204">
        <v>4</v>
      </c>
      <c r="F105" s="204">
        <v>87</v>
      </c>
      <c r="G105" s="204">
        <f t="shared" si="5"/>
        <v>49</v>
      </c>
      <c r="H105" s="204">
        <f t="shared" si="6"/>
        <v>2939.5611285266482</v>
      </c>
      <c r="I105" s="204">
        <f t="shared" si="8"/>
        <v>21311.818181818198</v>
      </c>
      <c r="J105" s="204">
        <f t="shared" si="9"/>
        <v>255741.81818181838</v>
      </c>
      <c r="K105" s="204"/>
      <c r="L105" s="163">
        <f t="shared" si="7"/>
        <v>18000</v>
      </c>
    </row>
    <row r="106" spans="1:12" x14ac:dyDescent="0.2">
      <c r="A106" s="151"/>
      <c r="B106" s="203"/>
      <c r="C106" s="204">
        <v>1</v>
      </c>
      <c r="D106" s="205"/>
      <c r="E106" s="204">
        <v>3</v>
      </c>
      <c r="F106" s="204">
        <v>66</v>
      </c>
      <c r="G106" s="204">
        <f t="shared" si="5"/>
        <v>44</v>
      </c>
      <c r="H106" s="204">
        <f t="shared" si="6"/>
        <v>3134.0909090909117</v>
      </c>
      <c r="I106" s="204">
        <f t="shared" si="8"/>
        <v>17237.500000000015</v>
      </c>
      <c r="J106" s="204">
        <f t="shared" si="9"/>
        <v>206850.00000000017</v>
      </c>
      <c r="K106" s="204"/>
      <c r="L106" s="163">
        <f t="shared" si="7"/>
        <v>18000</v>
      </c>
    </row>
    <row r="107" spans="1:12" x14ac:dyDescent="0.2">
      <c r="A107" s="151"/>
      <c r="B107" s="203"/>
      <c r="C107" s="204">
        <v>1</v>
      </c>
      <c r="D107" s="205"/>
      <c r="E107" s="204">
        <v>1</v>
      </c>
      <c r="F107" s="204">
        <v>28</v>
      </c>
      <c r="G107" s="204">
        <f t="shared" si="5"/>
        <v>34</v>
      </c>
      <c r="H107" s="204">
        <f t="shared" si="6"/>
        <v>4163.8636363636406</v>
      </c>
      <c r="I107" s="204">
        <f t="shared" si="8"/>
        <v>9715.6818181818289</v>
      </c>
      <c r="J107" s="204">
        <f t="shared" si="9"/>
        <v>116588.18181818194</v>
      </c>
      <c r="K107" s="204"/>
      <c r="L107" s="163">
        <f t="shared" si="7"/>
        <v>18000</v>
      </c>
    </row>
    <row r="108" spans="1:12" x14ac:dyDescent="0.2">
      <c r="A108" s="151"/>
      <c r="B108" s="203"/>
      <c r="C108" s="204">
        <v>1</v>
      </c>
      <c r="D108" s="205"/>
      <c r="E108" s="204">
        <v>1</v>
      </c>
      <c r="F108" s="204">
        <v>34</v>
      </c>
      <c r="G108" s="204">
        <f t="shared" si="5"/>
        <v>34</v>
      </c>
      <c r="H108" s="204">
        <f t="shared" si="6"/>
        <v>3760.9090909090942</v>
      </c>
      <c r="I108" s="204">
        <f t="shared" si="8"/>
        <v>10655.909090909101</v>
      </c>
      <c r="J108" s="204">
        <f t="shared" si="9"/>
        <v>127870.9090909092</v>
      </c>
      <c r="K108" s="204"/>
      <c r="L108" s="163">
        <f t="shared" si="7"/>
        <v>18000</v>
      </c>
    </row>
    <row r="109" spans="1:12" x14ac:dyDescent="0.2">
      <c r="A109" s="151"/>
      <c r="B109" s="203"/>
      <c r="C109" s="204">
        <v>1</v>
      </c>
      <c r="D109" s="205"/>
      <c r="E109" s="204">
        <v>2</v>
      </c>
      <c r="F109" s="204">
        <v>54</v>
      </c>
      <c r="G109" s="204">
        <f t="shared" si="5"/>
        <v>40</v>
      </c>
      <c r="H109" s="204">
        <f t="shared" si="6"/>
        <v>3273.3838383838415</v>
      </c>
      <c r="I109" s="204">
        <f t="shared" si="8"/>
        <v>14730.227272727287</v>
      </c>
      <c r="J109" s="204">
        <f t="shared" si="9"/>
        <v>176762.72727272744</v>
      </c>
      <c r="K109" s="204"/>
      <c r="L109" s="163">
        <f t="shared" si="7"/>
        <v>18000</v>
      </c>
    </row>
    <row r="110" spans="1:12" x14ac:dyDescent="0.2">
      <c r="A110" s="151"/>
      <c r="B110" s="203"/>
      <c r="C110" s="204">
        <v>1</v>
      </c>
      <c r="D110" s="205"/>
      <c r="E110" s="204">
        <v>1</v>
      </c>
      <c r="F110" s="204">
        <v>34</v>
      </c>
      <c r="G110" s="204">
        <f t="shared" si="5"/>
        <v>34</v>
      </c>
      <c r="H110" s="204">
        <f t="shared" si="6"/>
        <v>3760.9090909090942</v>
      </c>
      <c r="I110" s="204">
        <f t="shared" si="8"/>
        <v>10655.909090909101</v>
      </c>
      <c r="J110" s="204">
        <f t="shared" si="9"/>
        <v>127870.9090909092</v>
      </c>
      <c r="K110" s="204"/>
      <c r="L110" s="163">
        <f t="shared" si="7"/>
        <v>18000</v>
      </c>
    </row>
    <row r="111" spans="1:12" x14ac:dyDescent="0.2">
      <c r="A111" s="151"/>
      <c r="B111" s="203"/>
      <c r="C111" s="204">
        <v>1</v>
      </c>
      <c r="D111" s="205"/>
      <c r="E111" s="204">
        <v>1</v>
      </c>
      <c r="F111" s="204">
        <v>30</v>
      </c>
      <c r="G111" s="204">
        <f t="shared" si="5"/>
        <v>34</v>
      </c>
      <c r="H111" s="204">
        <f t="shared" si="6"/>
        <v>4011.6363636363672</v>
      </c>
      <c r="I111" s="204">
        <f t="shared" si="8"/>
        <v>10029.090909090917</v>
      </c>
      <c r="J111" s="204">
        <f t="shared" si="9"/>
        <v>120349.090909091</v>
      </c>
      <c r="K111" s="204"/>
      <c r="L111" s="163">
        <f t="shared" si="7"/>
        <v>18000</v>
      </c>
    </row>
    <row r="112" spans="1:12" x14ac:dyDescent="0.2">
      <c r="A112" s="151"/>
      <c r="B112" s="203"/>
      <c r="C112" s="204">
        <v>1</v>
      </c>
      <c r="D112" s="205"/>
      <c r="E112" s="204">
        <v>2</v>
      </c>
      <c r="F112" s="204">
        <v>53</v>
      </c>
      <c r="G112" s="204">
        <f t="shared" si="5"/>
        <v>40</v>
      </c>
      <c r="H112" s="204">
        <f t="shared" si="6"/>
        <v>3299.6655231560921</v>
      </c>
      <c r="I112" s="204">
        <f t="shared" si="8"/>
        <v>14573.522727272741</v>
      </c>
      <c r="J112" s="204">
        <f t="shared" si="9"/>
        <v>174882.27272727288</v>
      </c>
      <c r="K112" s="204"/>
      <c r="L112" s="163">
        <f t="shared" si="7"/>
        <v>18000</v>
      </c>
    </row>
    <row r="113" spans="1:12" x14ac:dyDescent="0.2">
      <c r="A113" s="151"/>
      <c r="B113" s="203"/>
      <c r="C113" s="204">
        <v>1</v>
      </c>
      <c r="D113" s="205"/>
      <c r="E113" s="204">
        <v>3</v>
      </c>
      <c r="F113" s="204">
        <v>62</v>
      </c>
      <c r="G113" s="204">
        <f t="shared" si="5"/>
        <v>44</v>
      </c>
      <c r="H113" s="204">
        <f t="shared" si="6"/>
        <v>3214.9706744868063</v>
      </c>
      <c r="I113" s="204">
        <f t="shared" si="8"/>
        <v>16610.681818181834</v>
      </c>
      <c r="J113" s="204">
        <f t="shared" si="9"/>
        <v>199328.181818182</v>
      </c>
      <c r="K113" s="204"/>
      <c r="L113" s="163">
        <f t="shared" si="7"/>
        <v>18000</v>
      </c>
    </row>
    <row r="114" spans="1:12" ht="11.25" customHeight="1" x14ac:dyDescent="0.2">
      <c r="B114" s="203"/>
      <c r="C114" s="204">
        <v>1</v>
      </c>
      <c r="D114" s="205"/>
      <c r="E114" s="204">
        <v>1</v>
      </c>
      <c r="F114" s="204">
        <v>30</v>
      </c>
      <c r="G114" s="204">
        <f t="shared" si="5"/>
        <v>34</v>
      </c>
      <c r="H114" s="204">
        <f t="shared" si="6"/>
        <v>4011.6363636363672</v>
      </c>
      <c r="I114" s="204">
        <f t="shared" si="8"/>
        <v>10029.090909090917</v>
      </c>
      <c r="J114" s="204">
        <f t="shared" si="9"/>
        <v>120349.090909091</v>
      </c>
      <c r="K114" s="204"/>
      <c r="L114" s="163">
        <f t="shared" si="7"/>
        <v>18000</v>
      </c>
    </row>
    <row r="115" spans="1:12" ht="11.25" customHeight="1" x14ac:dyDescent="0.2">
      <c r="B115" s="203"/>
      <c r="C115" s="204">
        <v>1</v>
      </c>
      <c r="D115" s="205"/>
      <c r="E115" s="204">
        <v>2</v>
      </c>
      <c r="F115" s="204">
        <v>34</v>
      </c>
      <c r="G115" s="204">
        <f t="shared" si="5"/>
        <v>40</v>
      </c>
      <c r="H115" s="204">
        <f t="shared" si="6"/>
        <v>4092.754010695191</v>
      </c>
      <c r="I115" s="204">
        <f t="shared" si="8"/>
        <v>11596.136363636375</v>
      </c>
      <c r="J115" s="204">
        <f t="shared" si="9"/>
        <v>139153.6363636365</v>
      </c>
      <c r="K115" s="204"/>
      <c r="L115" s="163">
        <f t="shared" si="7"/>
        <v>18000</v>
      </c>
    </row>
    <row r="116" spans="1:12" ht="11.25" customHeight="1" x14ac:dyDescent="0.2">
      <c r="B116" s="203"/>
      <c r="C116" s="204">
        <v>1</v>
      </c>
      <c r="D116" s="205"/>
      <c r="E116" s="204">
        <v>3</v>
      </c>
      <c r="F116" s="204">
        <v>62</v>
      </c>
      <c r="G116" s="204">
        <f t="shared" si="5"/>
        <v>44</v>
      </c>
      <c r="H116" s="204">
        <f t="shared" si="6"/>
        <v>3214.9706744868063</v>
      </c>
      <c r="I116" s="204">
        <f t="shared" si="8"/>
        <v>16610.681818181834</v>
      </c>
      <c r="J116" s="204">
        <f t="shared" si="9"/>
        <v>199328.181818182</v>
      </c>
      <c r="K116" s="204"/>
      <c r="L116" s="163">
        <f t="shared" si="7"/>
        <v>18000</v>
      </c>
    </row>
    <row r="117" spans="1:12" ht="11.25" customHeight="1" x14ac:dyDescent="0.2">
      <c r="B117" s="203"/>
      <c r="C117" s="204">
        <v>1</v>
      </c>
      <c r="D117" s="205"/>
      <c r="E117" s="204">
        <v>3</v>
      </c>
      <c r="F117" s="204">
        <v>62</v>
      </c>
      <c r="G117" s="204">
        <f t="shared" si="5"/>
        <v>44</v>
      </c>
      <c r="H117" s="204">
        <f t="shared" si="6"/>
        <v>3214.9706744868063</v>
      </c>
      <c r="I117" s="204">
        <f t="shared" si="8"/>
        <v>16610.681818181834</v>
      </c>
      <c r="J117" s="204">
        <f t="shared" si="9"/>
        <v>199328.181818182</v>
      </c>
      <c r="K117" s="204"/>
      <c r="L117" s="163">
        <f t="shared" si="7"/>
        <v>18000</v>
      </c>
    </row>
    <row r="118" spans="1:12" ht="11.25" customHeight="1" x14ac:dyDescent="0.2">
      <c r="B118" s="203"/>
      <c r="C118" s="204">
        <v>1</v>
      </c>
      <c r="D118" s="205"/>
      <c r="E118" s="204">
        <v>2</v>
      </c>
      <c r="F118" s="204">
        <v>34</v>
      </c>
      <c r="G118" s="204">
        <f t="shared" si="5"/>
        <v>40</v>
      </c>
      <c r="H118" s="204">
        <f t="shared" si="6"/>
        <v>4092.754010695191</v>
      </c>
      <c r="I118" s="204">
        <f t="shared" si="8"/>
        <v>11596.136363636375</v>
      </c>
      <c r="J118" s="204">
        <f t="shared" si="9"/>
        <v>139153.6363636365</v>
      </c>
      <c r="K118" s="204"/>
      <c r="L118" s="163">
        <f t="shared" si="7"/>
        <v>18000</v>
      </c>
    </row>
    <row r="119" spans="1:12" ht="11.25" customHeight="1" x14ac:dyDescent="0.2">
      <c r="B119" s="203"/>
      <c r="C119" s="204">
        <v>1</v>
      </c>
      <c r="D119" s="205"/>
      <c r="E119" s="204">
        <v>2</v>
      </c>
      <c r="F119" s="204">
        <v>34</v>
      </c>
      <c r="G119" s="204">
        <f t="shared" si="5"/>
        <v>40</v>
      </c>
      <c r="H119" s="204">
        <f t="shared" si="6"/>
        <v>4092.754010695191</v>
      </c>
      <c r="I119" s="204">
        <f t="shared" si="8"/>
        <v>11596.136363636375</v>
      </c>
      <c r="J119" s="204">
        <f t="shared" si="9"/>
        <v>139153.6363636365</v>
      </c>
      <c r="K119" s="204"/>
      <c r="L119" s="163">
        <f t="shared" si="7"/>
        <v>18000</v>
      </c>
    </row>
    <row r="120" spans="1:12" ht="11.25" customHeight="1" x14ac:dyDescent="0.2">
      <c r="B120" s="203"/>
      <c r="C120" s="204">
        <v>1</v>
      </c>
      <c r="D120" s="205"/>
      <c r="E120" s="204">
        <v>3</v>
      </c>
      <c r="F120" s="204">
        <v>62</v>
      </c>
      <c r="G120" s="204">
        <f t="shared" si="5"/>
        <v>44</v>
      </c>
      <c r="H120" s="204">
        <f t="shared" si="6"/>
        <v>3214.9706744868063</v>
      </c>
      <c r="I120" s="204">
        <f t="shared" si="8"/>
        <v>16610.681818181834</v>
      </c>
      <c r="J120" s="204">
        <f t="shared" si="9"/>
        <v>199328.181818182</v>
      </c>
      <c r="K120" s="204"/>
      <c r="L120" s="163">
        <f t="shared" si="7"/>
        <v>18000</v>
      </c>
    </row>
    <row r="121" spans="1:12" ht="11.25" customHeight="1" x14ac:dyDescent="0.2">
      <c r="B121" s="203"/>
      <c r="C121" s="204">
        <v>1</v>
      </c>
      <c r="D121" s="205"/>
      <c r="E121" s="204">
        <v>3</v>
      </c>
      <c r="F121" s="204">
        <v>62</v>
      </c>
      <c r="G121" s="204">
        <f t="shared" si="5"/>
        <v>44</v>
      </c>
      <c r="H121" s="204">
        <f t="shared" si="6"/>
        <v>3214.9706744868063</v>
      </c>
      <c r="I121" s="204">
        <f t="shared" si="8"/>
        <v>16610.681818181834</v>
      </c>
      <c r="J121" s="204">
        <f t="shared" si="9"/>
        <v>199328.181818182</v>
      </c>
      <c r="K121" s="204"/>
      <c r="L121" s="163">
        <f t="shared" si="7"/>
        <v>18000</v>
      </c>
    </row>
    <row r="122" spans="1:12" ht="11.25" customHeight="1" x14ac:dyDescent="0.2">
      <c r="B122" s="203"/>
      <c r="C122" s="204">
        <v>1</v>
      </c>
      <c r="D122" s="205"/>
      <c r="E122" s="204">
        <v>2</v>
      </c>
      <c r="F122" s="204">
        <v>34</v>
      </c>
      <c r="G122" s="204">
        <f t="shared" si="5"/>
        <v>40</v>
      </c>
      <c r="H122" s="204">
        <f t="shared" si="6"/>
        <v>4092.754010695191</v>
      </c>
      <c r="I122" s="204">
        <f t="shared" si="8"/>
        <v>11596.136363636375</v>
      </c>
      <c r="J122" s="204">
        <f t="shared" si="9"/>
        <v>139153.6363636365</v>
      </c>
      <c r="K122" s="204"/>
      <c r="L122" s="163">
        <f t="shared" si="7"/>
        <v>18000</v>
      </c>
    </row>
    <row r="123" spans="1:12" ht="11.25" customHeight="1" x14ac:dyDescent="0.2">
      <c r="B123" s="203"/>
      <c r="C123" s="204">
        <v>1</v>
      </c>
      <c r="D123" s="205"/>
      <c r="E123" s="204">
        <v>2</v>
      </c>
      <c r="F123" s="204">
        <v>34</v>
      </c>
      <c r="G123" s="204">
        <f t="shared" si="5"/>
        <v>40</v>
      </c>
      <c r="H123" s="204">
        <f t="shared" si="6"/>
        <v>4092.754010695191</v>
      </c>
      <c r="I123" s="204">
        <f t="shared" si="8"/>
        <v>11596.136363636375</v>
      </c>
      <c r="J123" s="204">
        <f t="shared" si="9"/>
        <v>139153.6363636365</v>
      </c>
      <c r="K123" s="204"/>
      <c r="L123" s="163">
        <f t="shared" si="7"/>
        <v>18000</v>
      </c>
    </row>
    <row r="124" spans="1:12" ht="11.25" customHeight="1" x14ac:dyDescent="0.2">
      <c r="B124" s="203"/>
      <c r="C124" s="204">
        <v>1</v>
      </c>
      <c r="D124" s="205"/>
      <c r="E124" s="204">
        <v>3</v>
      </c>
      <c r="F124" s="204">
        <v>62</v>
      </c>
      <c r="G124" s="204">
        <f t="shared" si="5"/>
        <v>44</v>
      </c>
      <c r="H124" s="204">
        <f t="shared" si="6"/>
        <v>3214.9706744868063</v>
      </c>
      <c r="I124" s="204">
        <f t="shared" si="8"/>
        <v>16610.681818181834</v>
      </c>
      <c r="J124" s="204">
        <f t="shared" si="9"/>
        <v>199328.181818182</v>
      </c>
      <c r="K124" s="204"/>
      <c r="L124" s="163">
        <f t="shared" si="7"/>
        <v>18000</v>
      </c>
    </row>
    <row r="125" spans="1:12" ht="11.25" customHeight="1" x14ac:dyDescent="0.2">
      <c r="B125" s="203"/>
      <c r="C125" s="204">
        <v>1</v>
      </c>
      <c r="D125" s="205"/>
      <c r="E125" s="204">
        <v>3</v>
      </c>
      <c r="F125" s="204">
        <v>62</v>
      </c>
      <c r="G125" s="204">
        <f t="shared" si="5"/>
        <v>44</v>
      </c>
      <c r="H125" s="204">
        <f t="shared" si="6"/>
        <v>3214.9706744868063</v>
      </c>
      <c r="I125" s="204">
        <f t="shared" si="8"/>
        <v>16610.681818181834</v>
      </c>
      <c r="J125" s="204">
        <f t="shared" si="9"/>
        <v>199328.181818182</v>
      </c>
      <c r="K125" s="204"/>
      <c r="L125" s="163">
        <f t="shared" si="7"/>
        <v>18000</v>
      </c>
    </row>
    <row r="126" spans="1:12" ht="11.25" customHeight="1" x14ac:dyDescent="0.2">
      <c r="B126" s="203"/>
      <c r="C126" s="204">
        <v>1</v>
      </c>
      <c r="D126" s="205"/>
      <c r="E126" s="204">
        <v>2</v>
      </c>
      <c r="F126" s="204">
        <v>34</v>
      </c>
      <c r="G126" s="204">
        <f t="shared" si="5"/>
        <v>40</v>
      </c>
      <c r="H126" s="204">
        <f t="shared" si="6"/>
        <v>4092.754010695191</v>
      </c>
      <c r="I126" s="204">
        <f t="shared" si="8"/>
        <v>11596.136363636375</v>
      </c>
      <c r="J126" s="204">
        <f t="shared" si="9"/>
        <v>139153.6363636365</v>
      </c>
      <c r="K126" s="204"/>
      <c r="L126" s="163">
        <f t="shared" si="7"/>
        <v>18000</v>
      </c>
    </row>
    <row r="127" spans="1:12" ht="11.25" customHeight="1" x14ac:dyDescent="0.2">
      <c r="B127" s="203"/>
      <c r="C127" s="204">
        <v>1</v>
      </c>
      <c r="D127" s="205"/>
      <c r="E127" s="204">
        <v>2</v>
      </c>
      <c r="F127" s="204">
        <v>34</v>
      </c>
      <c r="G127" s="204">
        <f t="shared" si="5"/>
        <v>40</v>
      </c>
      <c r="H127" s="204">
        <f t="shared" si="6"/>
        <v>4092.754010695191</v>
      </c>
      <c r="I127" s="204">
        <f t="shared" si="8"/>
        <v>11596.136363636375</v>
      </c>
      <c r="J127" s="204">
        <f t="shared" si="9"/>
        <v>139153.6363636365</v>
      </c>
      <c r="K127" s="204"/>
      <c r="L127" s="163">
        <f t="shared" si="7"/>
        <v>18000</v>
      </c>
    </row>
    <row r="128" spans="1:12" x14ac:dyDescent="0.2">
      <c r="B128" s="203"/>
      <c r="C128" s="204">
        <v>1</v>
      </c>
      <c r="D128" s="205"/>
      <c r="E128" s="204">
        <v>3</v>
      </c>
      <c r="F128" s="204">
        <v>62</v>
      </c>
      <c r="G128" s="204">
        <f t="shared" si="5"/>
        <v>44</v>
      </c>
      <c r="H128" s="204">
        <f t="shared" si="6"/>
        <v>3214.9706744868063</v>
      </c>
      <c r="I128" s="204">
        <f t="shared" si="8"/>
        <v>16610.681818181834</v>
      </c>
      <c r="J128" s="204">
        <f t="shared" si="9"/>
        <v>199328.181818182</v>
      </c>
      <c r="K128" s="204"/>
      <c r="L128" s="163">
        <f t="shared" si="7"/>
        <v>18000</v>
      </c>
    </row>
    <row r="129" spans="2:12" x14ac:dyDescent="0.2">
      <c r="B129" s="203"/>
      <c r="C129" s="204">
        <v>1</v>
      </c>
      <c r="D129" s="205"/>
      <c r="E129" s="204">
        <v>3</v>
      </c>
      <c r="F129" s="204">
        <v>62</v>
      </c>
      <c r="G129" s="204">
        <f t="shared" si="5"/>
        <v>44</v>
      </c>
      <c r="H129" s="204">
        <f t="shared" si="6"/>
        <v>3214.9706744868063</v>
      </c>
      <c r="I129" s="204">
        <f t="shared" si="8"/>
        <v>16610.681818181834</v>
      </c>
      <c r="J129" s="204">
        <f t="shared" si="9"/>
        <v>199328.181818182</v>
      </c>
      <c r="K129" s="204"/>
      <c r="L129" s="163">
        <f t="shared" si="7"/>
        <v>18000</v>
      </c>
    </row>
    <row r="130" spans="2:12" x14ac:dyDescent="0.2">
      <c r="B130" s="203"/>
      <c r="C130" s="204">
        <v>1</v>
      </c>
      <c r="D130" s="205"/>
      <c r="E130" s="204">
        <v>2</v>
      </c>
      <c r="F130" s="204">
        <v>34</v>
      </c>
      <c r="G130" s="204">
        <f t="shared" si="5"/>
        <v>40</v>
      </c>
      <c r="H130" s="204">
        <f t="shared" si="6"/>
        <v>4092.754010695191</v>
      </c>
      <c r="I130" s="204">
        <f t="shared" si="8"/>
        <v>11596.136363636375</v>
      </c>
      <c r="J130" s="204">
        <f t="shared" si="9"/>
        <v>139153.6363636365</v>
      </c>
      <c r="K130" s="204"/>
      <c r="L130" s="163">
        <f t="shared" si="7"/>
        <v>18000</v>
      </c>
    </row>
    <row r="131" spans="2:12" x14ac:dyDescent="0.2">
      <c r="B131" s="203"/>
      <c r="C131" s="204">
        <v>1</v>
      </c>
      <c r="D131" s="205"/>
      <c r="E131" s="204">
        <v>2</v>
      </c>
      <c r="F131" s="204">
        <v>34</v>
      </c>
      <c r="G131" s="204">
        <f t="shared" si="5"/>
        <v>40</v>
      </c>
      <c r="H131" s="204">
        <f t="shared" si="6"/>
        <v>4092.754010695191</v>
      </c>
      <c r="I131" s="204">
        <f t="shared" si="8"/>
        <v>11596.136363636375</v>
      </c>
      <c r="J131" s="204">
        <f t="shared" si="9"/>
        <v>139153.6363636365</v>
      </c>
      <c r="K131" s="204"/>
      <c r="L131" s="163">
        <f t="shared" si="7"/>
        <v>18000</v>
      </c>
    </row>
    <row r="132" spans="2:12" x14ac:dyDescent="0.2">
      <c r="B132" s="203"/>
      <c r="C132" s="204">
        <v>1</v>
      </c>
      <c r="D132" s="205"/>
      <c r="E132" s="204">
        <v>3</v>
      </c>
      <c r="F132" s="204">
        <v>62</v>
      </c>
      <c r="G132" s="204">
        <f t="shared" si="5"/>
        <v>44</v>
      </c>
      <c r="H132" s="204">
        <f t="shared" si="6"/>
        <v>3214.9706744868063</v>
      </c>
      <c r="I132" s="204">
        <f t="shared" si="8"/>
        <v>16610.681818181834</v>
      </c>
      <c r="J132" s="204">
        <f t="shared" si="9"/>
        <v>199328.181818182</v>
      </c>
      <c r="K132" s="204"/>
      <c r="L132" s="163">
        <f t="shared" si="7"/>
        <v>18000</v>
      </c>
    </row>
    <row r="133" spans="2:12" x14ac:dyDescent="0.2">
      <c r="B133" s="203"/>
      <c r="C133" s="204">
        <v>1</v>
      </c>
      <c r="D133" s="205"/>
      <c r="E133" s="204">
        <v>3</v>
      </c>
      <c r="F133" s="204">
        <v>62</v>
      </c>
      <c r="G133" s="204">
        <f t="shared" si="5"/>
        <v>44</v>
      </c>
      <c r="H133" s="204">
        <f t="shared" si="6"/>
        <v>3214.9706744868063</v>
      </c>
      <c r="I133" s="204">
        <f t="shared" si="8"/>
        <v>16610.681818181834</v>
      </c>
      <c r="J133" s="204">
        <f t="shared" si="9"/>
        <v>199328.181818182</v>
      </c>
      <c r="K133" s="204"/>
      <c r="L133" s="163">
        <f t="shared" si="7"/>
        <v>18000</v>
      </c>
    </row>
    <row r="134" spans="2:12" x14ac:dyDescent="0.2">
      <c r="B134" s="203"/>
      <c r="C134" s="204">
        <v>1</v>
      </c>
      <c r="D134" s="205"/>
      <c r="E134" s="204">
        <v>2</v>
      </c>
      <c r="F134" s="204">
        <v>34</v>
      </c>
      <c r="G134" s="204">
        <f t="shared" si="5"/>
        <v>40</v>
      </c>
      <c r="H134" s="204">
        <f t="shared" si="6"/>
        <v>4092.754010695191</v>
      </c>
      <c r="I134" s="204">
        <f t="shared" si="8"/>
        <v>11596.136363636375</v>
      </c>
      <c r="J134" s="204">
        <f t="shared" si="9"/>
        <v>139153.6363636365</v>
      </c>
      <c r="K134" s="204"/>
      <c r="L134" s="163">
        <f t="shared" si="7"/>
        <v>18000</v>
      </c>
    </row>
    <row r="135" spans="2:12" x14ac:dyDescent="0.2">
      <c r="B135" s="203"/>
      <c r="C135" s="204">
        <v>1</v>
      </c>
      <c r="D135" s="205"/>
      <c r="E135" s="204">
        <v>2</v>
      </c>
      <c r="F135" s="204">
        <v>34</v>
      </c>
      <c r="G135" s="204">
        <f t="shared" si="5"/>
        <v>40</v>
      </c>
      <c r="H135" s="204">
        <f t="shared" si="6"/>
        <v>4092.754010695191</v>
      </c>
      <c r="I135" s="204">
        <f t="shared" si="8"/>
        <v>11596.136363636375</v>
      </c>
      <c r="J135" s="204">
        <f t="shared" si="9"/>
        <v>139153.6363636365</v>
      </c>
      <c r="K135" s="204"/>
      <c r="L135" s="163">
        <f t="shared" si="7"/>
        <v>18000</v>
      </c>
    </row>
    <row r="136" spans="2:12" x14ac:dyDescent="0.2">
      <c r="B136" s="203"/>
      <c r="C136" s="204">
        <v>1</v>
      </c>
      <c r="D136" s="205"/>
      <c r="E136" s="204">
        <v>3</v>
      </c>
      <c r="F136" s="204">
        <v>60</v>
      </c>
      <c r="G136" s="204">
        <f t="shared" si="5"/>
        <v>44</v>
      </c>
      <c r="H136" s="204">
        <f t="shared" si="6"/>
        <v>3259.4545454545487</v>
      </c>
      <c r="I136" s="204">
        <f t="shared" si="8"/>
        <v>16297.272727272742</v>
      </c>
      <c r="J136" s="204">
        <f t="shared" si="9"/>
        <v>195567.27272727291</v>
      </c>
      <c r="K136" s="204"/>
      <c r="L136" s="163">
        <f t="shared" si="7"/>
        <v>18000</v>
      </c>
    </row>
    <row r="137" spans="2:12" x14ac:dyDescent="0.2">
      <c r="B137" s="203"/>
      <c r="C137" s="204">
        <v>1</v>
      </c>
      <c r="D137" s="205"/>
      <c r="E137" s="204">
        <v>3</v>
      </c>
      <c r="F137" s="204">
        <v>60</v>
      </c>
      <c r="G137" s="204">
        <f t="shared" si="5"/>
        <v>44</v>
      </c>
      <c r="H137" s="204">
        <f t="shared" si="6"/>
        <v>3259.4545454545487</v>
      </c>
      <c r="I137" s="204">
        <f t="shared" si="8"/>
        <v>16297.272727272742</v>
      </c>
      <c r="J137" s="204">
        <f t="shared" si="9"/>
        <v>195567.27272727291</v>
      </c>
      <c r="K137" s="204"/>
      <c r="L137" s="163">
        <f t="shared" si="7"/>
        <v>18000</v>
      </c>
    </row>
    <row r="138" spans="2:12" x14ac:dyDescent="0.2">
      <c r="B138" s="203"/>
      <c r="C138" s="204">
        <v>1</v>
      </c>
      <c r="D138" s="205"/>
      <c r="E138" s="204">
        <v>2</v>
      </c>
      <c r="F138" s="204">
        <v>34</v>
      </c>
      <c r="G138" s="204">
        <f t="shared" si="5"/>
        <v>40</v>
      </c>
      <c r="H138" s="204">
        <f t="shared" si="6"/>
        <v>4092.754010695191</v>
      </c>
      <c r="I138" s="204">
        <f t="shared" si="8"/>
        <v>11596.136363636375</v>
      </c>
      <c r="J138" s="204">
        <f t="shared" si="9"/>
        <v>139153.6363636365</v>
      </c>
      <c r="K138" s="204"/>
      <c r="L138" s="163">
        <f t="shared" si="7"/>
        <v>18000</v>
      </c>
    </row>
    <row r="139" spans="2:12" x14ac:dyDescent="0.2">
      <c r="B139" s="203"/>
      <c r="C139" s="204">
        <v>1</v>
      </c>
      <c r="D139" s="205"/>
      <c r="E139" s="204">
        <v>2</v>
      </c>
      <c r="F139" s="204">
        <v>34</v>
      </c>
      <c r="G139" s="204">
        <f t="shared" si="5"/>
        <v>40</v>
      </c>
      <c r="H139" s="204">
        <f t="shared" si="6"/>
        <v>4092.754010695191</v>
      </c>
      <c r="I139" s="204">
        <f t="shared" si="8"/>
        <v>11596.136363636375</v>
      </c>
      <c r="J139" s="204">
        <f t="shared" si="9"/>
        <v>139153.6363636365</v>
      </c>
      <c r="K139" s="204"/>
      <c r="L139" s="163">
        <f t="shared" si="7"/>
        <v>18000</v>
      </c>
    </row>
    <row r="140" spans="2:12" x14ac:dyDescent="0.2">
      <c r="B140" s="203"/>
      <c r="C140" s="204">
        <v>1</v>
      </c>
      <c r="D140" s="205"/>
      <c r="E140" s="204">
        <v>3</v>
      </c>
      <c r="F140" s="204">
        <v>60</v>
      </c>
      <c r="G140" s="204">
        <f t="shared" si="5"/>
        <v>44</v>
      </c>
      <c r="H140" s="204">
        <f t="shared" si="6"/>
        <v>3259.4545454545487</v>
      </c>
      <c r="I140" s="204">
        <f t="shared" si="8"/>
        <v>16297.272727272742</v>
      </c>
      <c r="J140" s="204">
        <f t="shared" si="9"/>
        <v>195567.27272727291</v>
      </c>
      <c r="K140" s="204"/>
      <c r="L140" s="163">
        <f t="shared" si="7"/>
        <v>18000</v>
      </c>
    </row>
    <row r="141" spans="2:12" x14ac:dyDescent="0.2">
      <c r="B141" s="203"/>
      <c r="C141" s="204">
        <v>1</v>
      </c>
      <c r="D141" s="205"/>
      <c r="E141" s="204">
        <v>3</v>
      </c>
      <c r="F141" s="204">
        <v>60</v>
      </c>
      <c r="G141" s="204">
        <f t="shared" si="5"/>
        <v>44</v>
      </c>
      <c r="H141" s="204">
        <f t="shared" si="6"/>
        <v>3259.4545454545487</v>
      </c>
      <c r="I141" s="204">
        <f t="shared" si="8"/>
        <v>16297.272727272742</v>
      </c>
      <c r="J141" s="204">
        <f t="shared" si="9"/>
        <v>195567.27272727291</v>
      </c>
      <c r="K141" s="204"/>
      <c r="L141" s="163">
        <f t="shared" si="7"/>
        <v>18000</v>
      </c>
    </row>
    <row r="142" spans="2:12" x14ac:dyDescent="0.2">
      <c r="B142" s="203"/>
      <c r="C142" s="204">
        <v>1</v>
      </c>
      <c r="D142" s="205"/>
      <c r="E142" s="204">
        <v>2</v>
      </c>
      <c r="F142" s="204">
        <v>34</v>
      </c>
      <c r="G142" s="204">
        <f t="shared" si="5"/>
        <v>40</v>
      </c>
      <c r="H142" s="204">
        <f t="shared" si="6"/>
        <v>4092.754010695191</v>
      </c>
      <c r="I142" s="204">
        <f t="shared" si="8"/>
        <v>11596.136363636375</v>
      </c>
      <c r="J142" s="204">
        <f t="shared" si="9"/>
        <v>139153.6363636365</v>
      </c>
      <c r="K142" s="204"/>
      <c r="L142" s="163">
        <f t="shared" si="7"/>
        <v>18000</v>
      </c>
    </row>
    <row r="143" spans="2:12" x14ac:dyDescent="0.2">
      <c r="B143" s="203"/>
      <c r="C143" s="204">
        <v>1</v>
      </c>
      <c r="D143" s="205"/>
      <c r="E143" s="204">
        <v>1</v>
      </c>
      <c r="F143" s="204">
        <v>30</v>
      </c>
      <c r="G143" s="204">
        <f t="shared" si="5"/>
        <v>34</v>
      </c>
      <c r="H143" s="204">
        <f t="shared" si="6"/>
        <v>4011.6363636363672</v>
      </c>
      <c r="I143" s="204">
        <f t="shared" si="8"/>
        <v>10029.090909090917</v>
      </c>
      <c r="J143" s="204">
        <f t="shared" si="9"/>
        <v>120349.090909091</v>
      </c>
      <c r="K143" s="204"/>
      <c r="L143" s="163">
        <f t="shared" si="7"/>
        <v>18000</v>
      </c>
    </row>
    <row r="144" spans="2:12" x14ac:dyDescent="0.2">
      <c r="B144" s="203"/>
      <c r="C144" s="204">
        <v>1</v>
      </c>
      <c r="D144" s="205"/>
      <c r="E144" s="204">
        <v>2</v>
      </c>
      <c r="F144" s="204">
        <v>53</v>
      </c>
      <c r="G144" s="204">
        <f t="shared" si="5"/>
        <v>40</v>
      </c>
      <c r="H144" s="204">
        <f t="shared" si="6"/>
        <v>3299.6655231560921</v>
      </c>
      <c r="I144" s="204">
        <f t="shared" si="8"/>
        <v>14573.522727272741</v>
      </c>
      <c r="J144" s="204">
        <f t="shared" si="9"/>
        <v>174882.27272727288</v>
      </c>
      <c r="K144" s="204"/>
      <c r="L144" s="163">
        <f t="shared" si="7"/>
        <v>18000</v>
      </c>
    </row>
    <row r="145" spans="2:12" x14ac:dyDescent="0.2">
      <c r="B145" s="203"/>
      <c r="C145" s="204">
        <v>1</v>
      </c>
      <c r="D145" s="205"/>
      <c r="E145" s="204">
        <v>3</v>
      </c>
      <c r="F145" s="204">
        <v>62</v>
      </c>
      <c r="G145" s="204">
        <f t="shared" si="5"/>
        <v>44</v>
      </c>
      <c r="H145" s="204">
        <f t="shared" si="6"/>
        <v>3214.9706744868063</v>
      </c>
      <c r="I145" s="204">
        <f t="shared" si="8"/>
        <v>16610.681818181834</v>
      </c>
      <c r="J145" s="204">
        <f t="shared" si="9"/>
        <v>199328.181818182</v>
      </c>
      <c r="K145" s="204"/>
      <c r="L145" s="163">
        <f t="shared" si="7"/>
        <v>18000</v>
      </c>
    </row>
    <row r="146" spans="2:12" x14ac:dyDescent="0.2">
      <c r="B146" s="203"/>
      <c r="C146" s="204">
        <v>1</v>
      </c>
      <c r="D146" s="205"/>
      <c r="E146" s="204">
        <v>1</v>
      </c>
      <c r="F146" s="204">
        <v>30</v>
      </c>
      <c r="G146" s="204">
        <f t="shared" si="5"/>
        <v>34</v>
      </c>
      <c r="H146" s="204">
        <f t="shared" si="6"/>
        <v>4011.6363636363672</v>
      </c>
      <c r="I146" s="204">
        <f t="shared" si="8"/>
        <v>10029.090909090917</v>
      </c>
      <c r="J146" s="204">
        <f t="shared" si="9"/>
        <v>120349.090909091</v>
      </c>
      <c r="K146" s="204"/>
      <c r="L146" s="163">
        <f t="shared" si="7"/>
        <v>18000</v>
      </c>
    </row>
    <row r="147" spans="2:12" x14ac:dyDescent="0.2">
      <c r="B147" s="203"/>
      <c r="C147" s="204">
        <v>1</v>
      </c>
      <c r="D147" s="205"/>
      <c r="E147" s="204">
        <v>2</v>
      </c>
      <c r="F147" s="204">
        <v>34</v>
      </c>
      <c r="G147" s="204">
        <f t="shared" si="5"/>
        <v>40</v>
      </c>
      <c r="H147" s="204">
        <f t="shared" si="6"/>
        <v>4092.754010695191</v>
      </c>
      <c r="I147" s="204">
        <f t="shared" si="8"/>
        <v>11596.136363636375</v>
      </c>
      <c r="J147" s="204">
        <f t="shared" si="9"/>
        <v>139153.6363636365</v>
      </c>
      <c r="K147" s="204"/>
      <c r="L147" s="163">
        <f t="shared" si="7"/>
        <v>18000</v>
      </c>
    </row>
    <row r="148" spans="2:12" x14ac:dyDescent="0.2">
      <c r="B148" s="203"/>
      <c r="C148" s="204">
        <v>1</v>
      </c>
      <c r="D148" s="205"/>
      <c r="E148" s="204">
        <v>3</v>
      </c>
      <c r="F148" s="204">
        <v>62</v>
      </c>
      <c r="G148" s="204">
        <f t="shared" si="5"/>
        <v>44</v>
      </c>
      <c r="H148" s="204">
        <f t="shared" si="6"/>
        <v>3214.9706744868063</v>
      </c>
      <c r="I148" s="204">
        <f t="shared" si="8"/>
        <v>16610.681818181834</v>
      </c>
      <c r="J148" s="204">
        <f t="shared" si="9"/>
        <v>199328.181818182</v>
      </c>
      <c r="K148" s="204"/>
      <c r="L148" s="163">
        <f t="shared" si="7"/>
        <v>18000</v>
      </c>
    </row>
    <row r="149" spans="2:12" x14ac:dyDescent="0.2">
      <c r="B149" s="203"/>
      <c r="C149" s="204">
        <v>1</v>
      </c>
      <c r="D149" s="205"/>
      <c r="E149" s="204">
        <v>3</v>
      </c>
      <c r="F149" s="204">
        <v>62</v>
      </c>
      <c r="G149" s="204">
        <f t="shared" si="5"/>
        <v>44</v>
      </c>
      <c r="H149" s="204">
        <f t="shared" si="6"/>
        <v>3214.9706744868063</v>
      </c>
      <c r="I149" s="204">
        <f t="shared" si="8"/>
        <v>16610.681818181834</v>
      </c>
      <c r="J149" s="204">
        <f t="shared" si="9"/>
        <v>199328.181818182</v>
      </c>
      <c r="K149" s="204"/>
      <c r="L149" s="163">
        <f t="shared" si="7"/>
        <v>18000</v>
      </c>
    </row>
    <row r="150" spans="2:12" x14ac:dyDescent="0.2">
      <c r="B150" s="203"/>
      <c r="C150" s="204">
        <v>1</v>
      </c>
      <c r="D150" s="205"/>
      <c r="E150" s="204">
        <v>2</v>
      </c>
      <c r="F150" s="204">
        <v>34</v>
      </c>
      <c r="G150" s="204">
        <f t="shared" si="5"/>
        <v>40</v>
      </c>
      <c r="H150" s="204">
        <f t="shared" si="6"/>
        <v>4092.754010695191</v>
      </c>
      <c r="I150" s="204">
        <f t="shared" si="8"/>
        <v>11596.136363636375</v>
      </c>
      <c r="J150" s="204">
        <f t="shared" si="9"/>
        <v>139153.6363636365</v>
      </c>
      <c r="K150" s="204"/>
      <c r="L150" s="163">
        <f t="shared" si="7"/>
        <v>18000</v>
      </c>
    </row>
    <row r="151" spans="2:12" x14ac:dyDescent="0.2">
      <c r="B151" s="203"/>
      <c r="C151" s="204">
        <v>1</v>
      </c>
      <c r="D151" s="205"/>
      <c r="E151" s="204">
        <v>2</v>
      </c>
      <c r="F151" s="204">
        <v>34</v>
      </c>
      <c r="G151" s="204">
        <f t="shared" si="5"/>
        <v>40</v>
      </c>
      <c r="H151" s="204">
        <f t="shared" si="6"/>
        <v>4092.754010695191</v>
      </c>
      <c r="I151" s="204">
        <f t="shared" si="8"/>
        <v>11596.136363636375</v>
      </c>
      <c r="J151" s="204">
        <f t="shared" si="9"/>
        <v>139153.6363636365</v>
      </c>
      <c r="K151" s="204"/>
      <c r="L151" s="163">
        <f t="shared" si="7"/>
        <v>18000</v>
      </c>
    </row>
    <row r="152" spans="2:12" x14ac:dyDescent="0.2">
      <c r="B152" s="203"/>
      <c r="C152" s="204">
        <v>1</v>
      </c>
      <c r="D152" s="205"/>
      <c r="E152" s="204">
        <v>3</v>
      </c>
      <c r="F152" s="204">
        <v>62</v>
      </c>
      <c r="G152" s="204">
        <f t="shared" si="5"/>
        <v>44</v>
      </c>
      <c r="H152" s="204">
        <f t="shared" si="6"/>
        <v>3214.9706744868063</v>
      </c>
      <c r="I152" s="204">
        <f t="shared" si="8"/>
        <v>16610.681818181834</v>
      </c>
      <c r="J152" s="204">
        <f t="shared" si="9"/>
        <v>199328.181818182</v>
      </c>
      <c r="K152" s="204"/>
      <c r="L152" s="163">
        <f t="shared" si="7"/>
        <v>18000</v>
      </c>
    </row>
    <row r="153" spans="2:12" x14ac:dyDescent="0.2">
      <c r="B153" s="203"/>
      <c r="C153" s="204">
        <v>1</v>
      </c>
      <c r="D153" s="205"/>
      <c r="E153" s="204">
        <v>3</v>
      </c>
      <c r="F153" s="204">
        <v>62</v>
      </c>
      <c r="G153" s="204">
        <f t="shared" si="5"/>
        <v>44</v>
      </c>
      <c r="H153" s="204">
        <f t="shared" si="6"/>
        <v>3214.9706744868063</v>
      </c>
      <c r="I153" s="204">
        <f t="shared" si="8"/>
        <v>16610.681818181834</v>
      </c>
      <c r="J153" s="204">
        <f t="shared" si="9"/>
        <v>199328.181818182</v>
      </c>
      <c r="K153" s="204"/>
      <c r="L153" s="163">
        <f t="shared" si="7"/>
        <v>18000</v>
      </c>
    </row>
    <row r="154" spans="2:12" x14ac:dyDescent="0.2">
      <c r="B154" s="203"/>
      <c r="C154" s="204">
        <v>1</v>
      </c>
      <c r="D154" s="205"/>
      <c r="E154" s="204">
        <v>2</v>
      </c>
      <c r="F154" s="204">
        <v>34</v>
      </c>
      <c r="G154" s="204">
        <f t="shared" ref="G154:G217" si="10">IF(E154=1,34,IF(E154=2,40,IF(E154=3,44,IF(E154=4,49,IF(E154=5,52,IF(E154=6,55,IF(E154=1.5,27,IF(E154=2.5,34))))))))</f>
        <v>40</v>
      </c>
      <c r="H154" s="204">
        <f t="shared" ref="H154:H217" si="11">+$H$3*(F154+G154)/(1.57142857142857)/F154</f>
        <v>4092.754010695191</v>
      </c>
      <c r="I154" s="204">
        <f t="shared" si="8"/>
        <v>11596.136363636375</v>
      </c>
      <c r="J154" s="204">
        <f t="shared" si="9"/>
        <v>139153.6363636365</v>
      </c>
      <c r="K154" s="204"/>
      <c r="L154" s="163">
        <f>$H$4*12</f>
        <v>18000</v>
      </c>
    </row>
    <row r="155" spans="2:12" x14ac:dyDescent="0.2">
      <c r="B155" s="203"/>
      <c r="C155" s="204">
        <v>1</v>
      </c>
      <c r="D155" s="205"/>
      <c r="E155" s="204">
        <v>2</v>
      </c>
      <c r="F155" s="204">
        <v>34</v>
      </c>
      <c r="G155" s="204">
        <f t="shared" si="10"/>
        <v>40</v>
      </c>
      <c r="H155" s="204">
        <f t="shared" si="11"/>
        <v>4092.754010695191</v>
      </c>
      <c r="I155" s="204">
        <f t="shared" ref="I155:I218" si="12">+F155*H155/12</f>
        <v>11596.136363636375</v>
      </c>
      <c r="J155" s="204">
        <f t="shared" ref="J155:J218" si="13">+I155*12</f>
        <v>139153.6363636365</v>
      </c>
      <c r="K155" s="204"/>
      <c r="L155" s="163">
        <f>$H$4*12</f>
        <v>18000</v>
      </c>
    </row>
    <row r="156" spans="2:12" x14ac:dyDescent="0.2">
      <c r="C156" s="204">
        <v>1</v>
      </c>
      <c r="D156" s="205"/>
      <c r="E156" s="204">
        <v>3</v>
      </c>
      <c r="F156" s="204">
        <v>62</v>
      </c>
      <c r="G156" s="204">
        <f t="shared" si="10"/>
        <v>44</v>
      </c>
      <c r="H156" s="204">
        <f t="shared" si="11"/>
        <v>3214.9706744868063</v>
      </c>
      <c r="I156" s="204">
        <f t="shared" si="12"/>
        <v>16610.681818181834</v>
      </c>
      <c r="J156" s="204">
        <f t="shared" si="13"/>
        <v>199328.181818182</v>
      </c>
      <c r="K156" s="204"/>
      <c r="L156" s="163">
        <f>$H$4*12</f>
        <v>18000</v>
      </c>
    </row>
    <row r="157" spans="2:12" x14ac:dyDescent="0.2">
      <c r="C157" s="204">
        <v>1</v>
      </c>
      <c r="D157" s="205"/>
      <c r="E157" s="204">
        <v>3</v>
      </c>
      <c r="F157" s="204">
        <v>62</v>
      </c>
      <c r="G157" s="204">
        <f t="shared" si="10"/>
        <v>44</v>
      </c>
      <c r="H157" s="204">
        <f t="shared" si="11"/>
        <v>3214.9706744868063</v>
      </c>
      <c r="I157" s="204">
        <f t="shared" si="12"/>
        <v>16610.681818181834</v>
      </c>
      <c r="J157" s="204">
        <f t="shared" si="13"/>
        <v>199328.181818182</v>
      </c>
      <c r="K157" s="204"/>
      <c r="L157" s="163">
        <f>$H$4*12</f>
        <v>18000</v>
      </c>
    </row>
    <row r="158" spans="2:12" x14ac:dyDescent="0.2">
      <c r="C158" s="204">
        <v>1</v>
      </c>
      <c r="D158" s="205"/>
      <c r="E158" s="204">
        <v>2</v>
      </c>
      <c r="F158" s="204">
        <v>34</v>
      </c>
      <c r="G158" s="204">
        <f t="shared" si="10"/>
        <v>40</v>
      </c>
      <c r="H158" s="204">
        <f t="shared" si="11"/>
        <v>4092.754010695191</v>
      </c>
      <c r="I158" s="204">
        <f t="shared" si="12"/>
        <v>11596.136363636375</v>
      </c>
      <c r="J158" s="204">
        <f t="shared" si="13"/>
        <v>139153.6363636365</v>
      </c>
      <c r="K158" s="204"/>
      <c r="L158" s="163">
        <f>$H$4*12</f>
        <v>18000</v>
      </c>
    </row>
    <row r="159" spans="2:12" x14ac:dyDescent="0.2">
      <c r="C159" s="204">
        <v>1</v>
      </c>
      <c r="D159" s="205"/>
      <c r="E159" s="204">
        <v>2</v>
      </c>
      <c r="F159" s="204">
        <v>34</v>
      </c>
      <c r="G159" s="204">
        <f t="shared" si="10"/>
        <v>40</v>
      </c>
      <c r="H159" s="204">
        <f t="shared" si="11"/>
        <v>4092.754010695191</v>
      </c>
      <c r="I159" s="204">
        <f t="shared" si="12"/>
        <v>11596.136363636375</v>
      </c>
      <c r="J159" s="204">
        <f t="shared" si="13"/>
        <v>139153.6363636365</v>
      </c>
      <c r="K159" s="204"/>
      <c r="L159" s="163">
        <f t="shared" ref="L159:L173" si="14">$H$5*12</f>
        <v>9000</v>
      </c>
    </row>
    <row r="160" spans="2:12" x14ac:dyDescent="0.2">
      <c r="C160" s="204">
        <v>1</v>
      </c>
      <c r="D160" s="205"/>
      <c r="E160" s="204">
        <v>3</v>
      </c>
      <c r="F160" s="204">
        <v>62</v>
      </c>
      <c r="G160" s="204">
        <f t="shared" si="10"/>
        <v>44</v>
      </c>
      <c r="H160" s="204">
        <f t="shared" si="11"/>
        <v>3214.9706744868063</v>
      </c>
      <c r="I160" s="204">
        <f t="shared" si="12"/>
        <v>16610.681818181834</v>
      </c>
      <c r="J160" s="204">
        <f t="shared" si="13"/>
        <v>199328.181818182</v>
      </c>
      <c r="K160" s="204"/>
      <c r="L160" s="163">
        <f t="shared" si="14"/>
        <v>9000</v>
      </c>
    </row>
    <row r="161" spans="3:12" x14ac:dyDescent="0.2">
      <c r="C161" s="204">
        <v>1</v>
      </c>
      <c r="D161" s="205"/>
      <c r="E161" s="204">
        <v>3</v>
      </c>
      <c r="F161" s="204">
        <v>62</v>
      </c>
      <c r="G161" s="204">
        <f t="shared" si="10"/>
        <v>44</v>
      </c>
      <c r="H161" s="204">
        <f t="shared" si="11"/>
        <v>3214.9706744868063</v>
      </c>
      <c r="I161" s="204">
        <f t="shared" si="12"/>
        <v>16610.681818181834</v>
      </c>
      <c r="J161" s="204">
        <f t="shared" si="13"/>
        <v>199328.181818182</v>
      </c>
      <c r="K161" s="204"/>
      <c r="L161" s="163">
        <f t="shared" si="14"/>
        <v>9000</v>
      </c>
    </row>
    <row r="162" spans="3:12" x14ac:dyDescent="0.2">
      <c r="C162" s="204">
        <v>1</v>
      </c>
      <c r="D162" s="205"/>
      <c r="E162" s="204">
        <v>2</v>
      </c>
      <c r="F162" s="204">
        <v>34</v>
      </c>
      <c r="G162" s="204">
        <f t="shared" si="10"/>
        <v>40</v>
      </c>
      <c r="H162" s="204">
        <f t="shared" si="11"/>
        <v>4092.754010695191</v>
      </c>
      <c r="I162" s="204">
        <f t="shared" si="12"/>
        <v>11596.136363636375</v>
      </c>
      <c r="J162" s="204">
        <f t="shared" si="13"/>
        <v>139153.6363636365</v>
      </c>
      <c r="K162" s="204"/>
      <c r="L162" s="163">
        <f t="shared" si="14"/>
        <v>9000</v>
      </c>
    </row>
    <row r="163" spans="3:12" x14ac:dyDescent="0.2">
      <c r="C163" s="204">
        <v>1</v>
      </c>
      <c r="D163" s="205"/>
      <c r="E163" s="204">
        <v>2</v>
      </c>
      <c r="F163" s="204">
        <v>34</v>
      </c>
      <c r="G163" s="204">
        <f t="shared" si="10"/>
        <v>40</v>
      </c>
      <c r="H163" s="204">
        <f t="shared" si="11"/>
        <v>4092.754010695191</v>
      </c>
      <c r="I163" s="204">
        <f t="shared" si="12"/>
        <v>11596.136363636375</v>
      </c>
      <c r="J163" s="204">
        <f t="shared" si="13"/>
        <v>139153.6363636365</v>
      </c>
      <c r="K163" s="204"/>
      <c r="L163" s="163">
        <f t="shared" si="14"/>
        <v>9000</v>
      </c>
    </row>
    <row r="164" spans="3:12" x14ac:dyDescent="0.2">
      <c r="C164" s="204">
        <v>1</v>
      </c>
      <c r="D164" s="205"/>
      <c r="E164" s="204">
        <v>3</v>
      </c>
      <c r="F164" s="204">
        <v>62</v>
      </c>
      <c r="G164" s="204">
        <f t="shared" si="10"/>
        <v>44</v>
      </c>
      <c r="H164" s="204">
        <f t="shared" si="11"/>
        <v>3214.9706744868063</v>
      </c>
      <c r="I164" s="204">
        <f t="shared" si="12"/>
        <v>16610.681818181834</v>
      </c>
      <c r="J164" s="204">
        <f t="shared" si="13"/>
        <v>199328.181818182</v>
      </c>
      <c r="K164" s="204"/>
      <c r="L164" s="163">
        <f t="shared" si="14"/>
        <v>9000</v>
      </c>
    </row>
    <row r="165" spans="3:12" x14ac:dyDescent="0.2">
      <c r="C165" s="204">
        <v>1</v>
      </c>
      <c r="D165" s="205"/>
      <c r="E165" s="204">
        <v>3</v>
      </c>
      <c r="F165" s="204">
        <v>62</v>
      </c>
      <c r="G165" s="204">
        <f t="shared" si="10"/>
        <v>44</v>
      </c>
      <c r="H165" s="204">
        <f t="shared" si="11"/>
        <v>3214.9706744868063</v>
      </c>
      <c r="I165" s="204">
        <f t="shared" si="12"/>
        <v>16610.681818181834</v>
      </c>
      <c r="J165" s="204">
        <f t="shared" si="13"/>
        <v>199328.181818182</v>
      </c>
      <c r="K165" s="204"/>
      <c r="L165" s="163">
        <f t="shared" si="14"/>
        <v>9000</v>
      </c>
    </row>
    <row r="166" spans="3:12" x14ac:dyDescent="0.2">
      <c r="C166" s="204">
        <v>1</v>
      </c>
      <c r="D166" s="205"/>
      <c r="E166" s="204">
        <v>2</v>
      </c>
      <c r="F166" s="204">
        <v>34</v>
      </c>
      <c r="G166" s="204">
        <f t="shared" si="10"/>
        <v>40</v>
      </c>
      <c r="H166" s="204">
        <f t="shared" si="11"/>
        <v>4092.754010695191</v>
      </c>
      <c r="I166" s="204">
        <f t="shared" si="12"/>
        <v>11596.136363636375</v>
      </c>
      <c r="J166" s="204">
        <f t="shared" si="13"/>
        <v>139153.6363636365</v>
      </c>
      <c r="K166" s="204"/>
      <c r="L166" s="163">
        <f t="shared" si="14"/>
        <v>9000</v>
      </c>
    </row>
    <row r="167" spans="3:12" x14ac:dyDescent="0.2">
      <c r="C167" s="204">
        <v>1</v>
      </c>
      <c r="D167" s="205"/>
      <c r="E167" s="204">
        <v>2</v>
      </c>
      <c r="F167" s="204">
        <v>34</v>
      </c>
      <c r="G167" s="204">
        <f t="shared" si="10"/>
        <v>40</v>
      </c>
      <c r="H167" s="204">
        <f t="shared" si="11"/>
        <v>4092.754010695191</v>
      </c>
      <c r="I167" s="204">
        <f t="shared" si="12"/>
        <v>11596.136363636375</v>
      </c>
      <c r="J167" s="204">
        <f t="shared" si="13"/>
        <v>139153.6363636365</v>
      </c>
      <c r="K167" s="204"/>
      <c r="L167" s="163">
        <f t="shared" si="14"/>
        <v>9000</v>
      </c>
    </row>
    <row r="168" spans="3:12" x14ac:dyDescent="0.2">
      <c r="C168" s="204">
        <v>1</v>
      </c>
      <c r="D168" s="205"/>
      <c r="E168" s="204">
        <v>3</v>
      </c>
      <c r="F168" s="204">
        <v>62</v>
      </c>
      <c r="G168" s="204">
        <f t="shared" si="10"/>
        <v>44</v>
      </c>
      <c r="H168" s="204">
        <f t="shared" si="11"/>
        <v>3214.9706744868063</v>
      </c>
      <c r="I168" s="204">
        <f t="shared" si="12"/>
        <v>16610.681818181834</v>
      </c>
      <c r="J168" s="204">
        <f t="shared" si="13"/>
        <v>199328.181818182</v>
      </c>
      <c r="K168" s="204"/>
      <c r="L168" s="163">
        <f t="shared" si="14"/>
        <v>9000</v>
      </c>
    </row>
    <row r="169" spans="3:12" x14ac:dyDescent="0.2">
      <c r="C169" s="204">
        <v>1</v>
      </c>
      <c r="D169" s="205"/>
      <c r="E169" s="204">
        <v>3</v>
      </c>
      <c r="F169" s="204">
        <v>62</v>
      </c>
      <c r="G169" s="204">
        <f t="shared" si="10"/>
        <v>44</v>
      </c>
      <c r="H169" s="204">
        <f t="shared" si="11"/>
        <v>3214.9706744868063</v>
      </c>
      <c r="I169" s="204">
        <f t="shared" si="12"/>
        <v>16610.681818181834</v>
      </c>
      <c r="J169" s="204">
        <f t="shared" si="13"/>
        <v>199328.181818182</v>
      </c>
      <c r="K169" s="204"/>
      <c r="L169" s="163">
        <f t="shared" si="14"/>
        <v>9000</v>
      </c>
    </row>
    <row r="170" spans="3:12" x14ac:dyDescent="0.2">
      <c r="C170" s="204">
        <v>1</v>
      </c>
      <c r="D170" s="205"/>
      <c r="E170" s="204">
        <v>2</v>
      </c>
      <c r="F170" s="204">
        <v>34</v>
      </c>
      <c r="G170" s="204">
        <f t="shared" si="10"/>
        <v>40</v>
      </c>
      <c r="H170" s="204">
        <f t="shared" si="11"/>
        <v>4092.754010695191</v>
      </c>
      <c r="I170" s="204">
        <f t="shared" si="12"/>
        <v>11596.136363636375</v>
      </c>
      <c r="J170" s="204">
        <f t="shared" si="13"/>
        <v>139153.6363636365</v>
      </c>
      <c r="K170" s="204"/>
      <c r="L170" s="163">
        <f t="shared" si="14"/>
        <v>9000</v>
      </c>
    </row>
    <row r="171" spans="3:12" x14ac:dyDescent="0.2">
      <c r="C171" s="204">
        <v>1</v>
      </c>
      <c r="D171" s="205"/>
      <c r="E171" s="204">
        <v>2</v>
      </c>
      <c r="F171" s="204">
        <v>34</v>
      </c>
      <c r="G171" s="204">
        <f t="shared" si="10"/>
        <v>40</v>
      </c>
      <c r="H171" s="204">
        <f t="shared" si="11"/>
        <v>4092.754010695191</v>
      </c>
      <c r="I171" s="204">
        <f t="shared" si="12"/>
        <v>11596.136363636375</v>
      </c>
      <c r="J171" s="204">
        <f t="shared" si="13"/>
        <v>139153.6363636365</v>
      </c>
      <c r="K171" s="204"/>
      <c r="L171" s="163">
        <f t="shared" si="14"/>
        <v>9000</v>
      </c>
    </row>
    <row r="172" spans="3:12" x14ac:dyDescent="0.2">
      <c r="C172" s="204">
        <v>1</v>
      </c>
      <c r="D172" s="205"/>
      <c r="E172" s="204">
        <v>3</v>
      </c>
      <c r="F172" s="204">
        <v>60</v>
      </c>
      <c r="G172" s="204">
        <f t="shared" si="10"/>
        <v>44</v>
      </c>
      <c r="H172" s="204">
        <f t="shared" si="11"/>
        <v>3259.4545454545487</v>
      </c>
      <c r="I172" s="204">
        <f t="shared" si="12"/>
        <v>16297.272727272742</v>
      </c>
      <c r="J172" s="204">
        <f t="shared" si="13"/>
        <v>195567.27272727291</v>
      </c>
      <c r="K172" s="204"/>
      <c r="L172" s="163">
        <f t="shared" si="14"/>
        <v>9000</v>
      </c>
    </row>
    <row r="173" spans="3:12" x14ac:dyDescent="0.2">
      <c r="C173" s="204">
        <v>1</v>
      </c>
      <c r="D173" s="205"/>
      <c r="E173" s="204">
        <v>3</v>
      </c>
      <c r="F173" s="204">
        <v>60</v>
      </c>
      <c r="G173" s="204">
        <f t="shared" si="10"/>
        <v>44</v>
      </c>
      <c r="H173" s="204">
        <f t="shared" si="11"/>
        <v>3259.4545454545487</v>
      </c>
      <c r="I173" s="204">
        <f t="shared" si="12"/>
        <v>16297.272727272742</v>
      </c>
      <c r="J173" s="204">
        <f t="shared" si="13"/>
        <v>195567.27272727291</v>
      </c>
      <c r="K173" s="204"/>
      <c r="L173" s="163">
        <f t="shared" si="14"/>
        <v>9000</v>
      </c>
    </row>
    <row r="174" spans="3:12" x14ac:dyDescent="0.2">
      <c r="C174" s="204">
        <v>1</v>
      </c>
      <c r="D174" s="205"/>
      <c r="E174" s="204">
        <v>2</v>
      </c>
      <c r="F174" s="204">
        <v>34</v>
      </c>
      <c r="G174" s="204">
        <f t="shared" si="10"/>
        <v>40</v>
      </c>
      <c r="H174" s="204">
        <f t="shared" si="11"/>
        <v>4092.754010695191</v>
      </c>
      <c r="I174" s="204">
        <f t="shared" si="12"/>
        <v>11596.136363636375</v>
      </c>
      <c r="J174" s="204">
        <f t="shared" si="13"/>
        <v>139153.6363636365</v>
      </c>
      <c r="K174" s="204"/>
      <c r="L174" s="163"/>
    </row>
    <row r="175" spans="3:12" x14ac:dyDescent="0.2">
      <c r="C175" s="204">
        <v>1</v>
      </c>
      <c r="D175" s="205"/>
      <c r="E175" s="204">
        <v>2</v>
      </c>
      <c r="F175" s="204">
        <v>34</v>
      </c>
      <c r="G175" s="204">
        <f t="shared" si="10"/>
        <v>40</v>
      </c>
      <c r="H175" s="204">
        <f t="shared" si="11"/>
        <v>4092.754010695191</v>
      </c>
      <c r="I175" s="204">
        <f t="shared" si="12"/>
        <v>11596.136363636375</v>
      </c>
      <c r="J175" s="204">
        <f t="shared" si="13"/>
        <v>139153.6363636365</v>
      </c>
      <c r="K175" s="204"/>
      <c r="L175" s="163"/>
    </row>
    <row r="176" spans="3:12" x14ac:dyDescent="0.2">
      <c r="C176" s="204">
        <v>1</v>
      </c>
      <c r="D176" s="205"/>
      <c r="E176" s="204">
        <v>3</v>
      </c>
      <c r="F176" s="204">
        <v>60</v>
      </c>
      <c r="G176" s="204">
        <f t="shared" si="10"/>
        <v>44</v>
      </c>
      <c r="H176" s="204">
        <f t="shared" si="11"/>
        <v>3259.4545454545487</v>
      </c>
      <c r="I176" s="204">
        <f t="shared" si="12"/>
        <v>16297.272727272742</v>
      </c>
      <c r="J176" s="204">
        <f t="shared" si="13"/>
        <v>195567.27272727291</v>
      </c>
      <c r="K176" s="204"/>
      <c r="L176" s="163"/>
    </row>
    <row r="177" spans="3:12" x14ac:dyDescent="0.2">
      <c r="C177" s="204">
        <v>1</v>
      </c>
      <c r="D177" s="205"/>
      <c r="E177" s="204">
        <v>3</v>
      </c>
      <c r="F177" s="204">
        <v>60</v>
      </c>
      <c r="G177" s="204">
        <f t="shared" si="10"/>
        <v>44</v>
      </c>
      <c r="H177" s="204">
        <f t="shared" si="11"/>
        <v>3259.4545454545487</v>
      </c>
      <c r="I177" s="204">
        <f t="shared" si="12"/>
        <v>16297.272727272742</v>
      </c>
      <c r="J177" s="204">
        <f t="shared" si="13"/>
        <v>195567.27272727291</v>
      </c>
      <c r="K177" s="204"/>
      <c r="L177" s="163"/>
    </row>
    <row r="178" spans="3:12" x14ac:dyDescent="0.2">
      <c r="C178" s="204">
        <v>1</v>
      </c>
      <c r="D178" s="205"/>
      <c r="E178" s="204">
        <v>2</v>
      </c>
      <c r="F178" s="204">
        <v>34</v>
      </c>
      <c r="G178" s="204">
        <f t="shared" si="10"/>
        <v>40</v>
      </c>
      <c r="H178" s="204">
        <f t="shared" si="11"/>
        <v>4092.754010695191</v>
      </c>
      <c r="I178" s="204">
        <f t="shared" si="12"/>
        <v>11596.136363636375</v>
      </c>
      <c r="J178" s="204">
        <f t="shared" si="13"/>
        <v>139153.6363636365</v>
      </c>
      <c r="K178" s="204"/>
      <c r="L178" s="163"/>
    </row>
    <row r="179" spans="3:12" x14ac:dyDescent="0.2">
      <c r="C179" s="204">
        <v>1</v>
      </c>
      <c r="D179" s="205"/>
      <c r="E179" s="204">
        <v>2</v>
      </c>
      <c r="F179" s="204">
        <v>42</v>
      </c>
      <c r="G179" s="204">
        <f t="shared" si="10"/>
        <v>40</v>
      </c>
      <c r="H179" s="204">
        <f t="shared" si="11"/>
        <v>3671.3636363636392</v>
      </c>
      <c r="I179" s="204">
        <f t="shared" si="12"/>
        <v>12849.772727272737</v>
      </c>
      <c r="J179" s="204">
        <f t="shared" si="13"/>
        <v>154197.27272727285</v>
      </c>
      <c r="K179" s="204"/>
      <c r="L179" s="163"/>
    </row>
    <row r="180" spans="3:12" x14ac:dyDescent="0.2">
      <c r="C180" s="204">
        <v>1</v>
      </c>
      <c r="D180" s="205"/>
      <c r="E180" s="204">
        <v>1</v>
      </c>
      <c r="F180" s="204">
        <v>31</v>
      </c>
      <c r="G180" s="204">
        <f t="shared" si="10"/>
        <v>34</v>
      </c>
      <c r="H180" s="204">
        <f t="shared" si="11"/>
        <v>3942.8885630498567</v>
      </c>
      <c r="I180" s="204">
        <f t="shared" si="12"/>
        <v>10185.795454545463</v>
      </c>
      <c r="J180" s="204">
        <f t="shared" si="13"/>
        <v>122229.54545454556</v>
      </c>
      <c r="K180" s="204"/>
      <c r="L180" s="163"/>
    </row>
    <row r="181" spans="3:12" x14ac:dyDescent="0.2">
      <c r="C181" s="204">
        <v>1</v>
      </c>
      <c r="D181" s="205"/>
      <c r="E181" s="204">
        <v>1</v>
      </c>
      <c r="F181" s="204">
        <v>34</v>
      </c>
      <c r="G181" s="204">
        <f t="shared" si="10"/>
        <v>34</v>
      </c>
      <c r="H181" s="204">
        <f t="shared" si="11"/>
        <v>3760.9090909090942</v>
      </c>
      <c r="I181" s="204">
        <f t="shared" si="12"/>
        <v>10655.909090909101</v>
      </c>
      <c r="J181" s="204">
        <f t="shared" si="13"/>
        <v>127870.9090909092</v>
      </c>
      <c r="K181" s="204"/>
      <c r="L181" s="163"/>
    </row>
    <row r="182" spans="3:12" x14ac:dyDescent="0.2">
      <c r="C182" s="204">
        <v>1</v>
      </c>
      <c r="D182" s="205"/>
      <c r="E182" s="204">
        <v>1</v>
      </c>
      <c r="F182" s="204">
        <v>30</v>
      </c>
      <c r="G182" s="204">
        <f t="shared" si="10"/>
        <v>34</v>
      </c>
      <c r="H182" s="204">
        <f t="shared" si="11"/>
        <v>4011.6363636363672</v>
      </c>
      <c r="I182" s="204">
        <f t="shared" si="12"/>
        <v>10029.090909090917</v>
      </c>
      <c r="J182" s="204">
        <f t="shared" si="13"/>
        <v>120349.090909091</v>
      </c>
      <c r="K182" s="204"/>
      <c r="L182" s="163"/>
    </row>
    <row r="183" spans="3:12" x14ac:dyDescent="0.2">
      <c r="C183" s="204">
        <v>1</v>
      </c>
      <c r="D183" s="205"/>
      <c r="E183" s="204">
        <v>2</v>
      </c>
      <c r="F183" s="204">
        <v>39</v>
      </c>
      <c r="G183" s="204">
        <f t="shared" si="10"/>
        <v>40</v>
      </c>
      <c r="H183" s="204">
        <f t="shared" si="11"/>
        <v>3809.125874125878</v>
      </c>
      <c r="I183" s="204">
        <f t="shared" si="12"/>
        <v>12379.659090909103</v>
      </c>
      <c r="J183" s="204">
        <f t="shared" si="13"/>
        <v>148555.90909090923</v>
      </c>
      <c r="K183" s="204"/>
      <c r="L183" s="163"/>
    </row>
    <row r="184" spans="3:12" x14ac:dyDescent="0.2">
      <c r="C184" s="204">
        <v>1</v>
      </c>
      <c r="D184" s="205"/>
      <c r="E184" s="204">
        <v>2</v>
      </c>
      <c r="F184" s="204">
        <v>42</v>
      </c>
      <c r="G184" s="204">
        <f t="shared" si="10"/>
        <v>40</v>
      </c>
      <c r="H184" s="204">
        <f t="shared" si="11"/>
        <v>3671.3636363636392</v>
      </c>
      <c r="I184" s="204">
        <f t="shared" si="12"/>
        <v>12849.772727272737</v>
      </c>
      <c r="J184" s="204">
        <f t="shared" si="13"/>
        <v>154197.27272727285</v>
      </c>
      <c r="K184" s="204"/>
      <c r="L184" s="163"/>
    </row>
    <row r="185" spans="3:12" x14ac:dyDescent="0.2">
      <c r="C185" s="204">
        <v>1</v>
      </c>
      <c r="D185" s="205"/>
      <c r="E185" s="204">
        <v>1</v>
      </c>
      <c r="F185" s="204">
        <v>31</v>
      </c>
      <c r="G185" s="204">
        <f t="shared" si="10"/>
        <v>34</v>
      </c>
      <c r="H185" s="204">
        <f t="shared" si="11"/>
        <v>3942.8885630498567</v>
      </c>
      <c r="I185" s="204">
        <f t="shared" si="12"/>
        <v>10185.795454545463</v>
      </c>
      <c r="J185" s="204">
        <f t="shared" si="13"/>
        <v>122229.54545454556</v>
      </c>
      <c r="K185" s="204"/>
      <c r="L185" s="163"/>
    </row>
    <row r="186" spans="3:12" x14ac:dyDescent="0.2">
      <c r="C186" s="204">
        <v>1</v>
      </c>
      <c r="D186" s="205"/>
      <c r="E186" s="204">
        <v>1</v>
      </c>
      <c r="F186" s="204">
        <v>27</v>
      </c>
      <c r="G186" s="204">
        <f t="shared" si="10"/>
        <v>34</v>
      </c>
      <c r="H186" s="204">
        <f t="shared" si="11"/>
        <v>4248.4343434343473</v>
      </c>
      <c r="I186" s="204">
        <f t="shared" si="12"/>
        <v>9558.9772727272812</v>
      </c>
      <c r="J186" s="204">
        <f t="shared" si="13"/>
        <v>114707.72727272738</v>
      </c>
      <c r="K186" s="204"/>
      <c r="L186" s="163"/>
    </row>
    <row r="187" spans="3:12" x14ac:dyDescent="0.2">
      <c r="C187" s="204">
        <v>1</v>
      </c>
      <c r="D187" s="205"/>
      <c r="E187" s="204">
        <v>1</v>
      </c>
      <c r="F187" s="204">
        <v>34</v>
      </c>
      <c r="G187" s="204">
        <f t="shared" si="10"/>
        <v>34</v>
      </c>
      <c r="H187" s="204">
        <f t="shared" si="11"/>
        <v>3760.9090909090942</v>
      </c>
      <c r="I187" s="204">
        <f t="shared" si="12"/>
        <v>10655.909090909101</v>
      </c>
      <c r="J187" s="204">
        <f t="shared" si="13"/>
        <v>127870.9090909092</v>
      </c>
      <c r="K187" s="204"/>
      <c r="L187" s="163"/>
    </row>
    <row r="188" spans="3:12" x14ac:dyDescent="0.2">
      <c r="C188" s="204">
        <v>1</v>
      </c>
      <c r="D188" s="205"/>
      <c r="E188" s="204">
        <v>1</v>
      </c>
      <c r="F188" s="204">
        <v>34</v>
      </c>
      <c r="G188" s="204">
        <f t="shared" si="10"/>
        <v>34</v>
      </c>
      <c r="H188" s="204">
        <f t="shared" si="11"/>
        <v>3760.9090909090942</v>
      </c>
      <c r="I188" s="204">
        <f t="shared" si="12"/>
        <v>10655.909090909101</v>
      </c>
      <c r="J188" s="204">
        <f t="shared" si="13"/>
        <v>127870.9090909092</v>
      </c>
      <c r="K188" s="204"/>
      <c r="L188" s="163"/>
    </row>
    <row r="189" spans="3:12" x14ac:dyDescent="0.2">
      <c r="C189" s="204">
        <v>1</v>
      </c>
      <c r="D189" s="205"/>
      <c r="E189" s="204">
        <v>1</v>
      </c>
      <c r="F189" s="204">
        <v>30</v>
      </c>
      <c r="G189" s="204">
        <f t="shared" si="10"/>
        <v>34</v>
      </c>
      <c r="H189" s="204">
        <f t="shared" si="11"/>
        <v>4011.6363636363672</v>
      </c>
      <c r="I189" s="204">
        <f t="shared" si="12"/>
        <v>10029.090909090917</v>
      </c>
      <c r="J189" s="204">
        <f t="shared" si="13"/>
        <v>120349.090909091</v>
      </c>
      <c r="K189" s="204"/>
      <c r="L189" s="163"/>
    </row>
    <row r="190" spans="3:12" x14ac:dyDescent="0.2">
      <c r="C190" s="204">
        <v>1</v>
      </c>
      <c r="D190" s="205"/>
      <c r="E190" s="204">
        <v>2</v>
      </c>
      <c r="F190" s="204">
        <v>39</v>
      </c>
      <c r="G190" s="204">
        <f t="shared" si="10"/>
        <v>40</v>
      </c>
      <c r="H190" s="204">
        <f t="shared" si="11"/>
        <v>3809.125874125878</v>
      </c>
      <c r="I190" s="204">
        <f t="shared" si="12"/>
        <v>12379.659090909103</v>
      </c>
      <c r="J190" s="204">
        <f t="shared" si="13"/>
        <v>148555.90909090923</v>
      </c>
      <c r="K190" s="204"/>
      <c r="L190" s="163"/>
    </row>
    <row r="191" spans="3:12" x14ac:dyDescent="0.2">
      <c r="C191" s="204">
        <v>1</v>
      </c>
      <c r="D191" s="205"/>
      <c r="E191" s="204">
        <v>2</v>
      </c>
      <c r="F191" s="204">
        <v>42</v>
      </c>
      <c r="G191" s="204">
        <f t="shared" si="10"/>
        <v>40</v>
      </c>
      <c r="H191" s="204">
        <f t="shared" si="11"/>
        <v>3671.3636363636392</v>
      </c>
      <c r="I191" s="204">
        <f t="shared" si="12"/>
        <v>12849.772727272737</v>
      </c>
      <c r="J191" s="204">
        <f t="shared" si="13"/>
        <v>154197.27272727285</v>
      </c>
      <c r="K191" s="204"/>
      <c r="L191" s="163"/>
    </row>
    <row r="192" spans="3:12" x14ac:dyDescent="0.2">
      <c r="C192" s="204">
        <v>1</v>
      </c>
      <c r="D192" s="205"/>
      <c r="E192" s="204">
        <v>1</v>
      </c>
      <c r="F192" s="204">
        <v>31</v>
      </c>
      <c r="G192" s="204">
        <f t="shared" si="10"/>
        <v>34</v>
      </c>
      <c r="H192" s="204">
        <f t="shared" si="11"/>
        <v>3942.8885630498567</v>
      </c>
      <c r="I192" s="204">
        <f t="shared" si="12"/>
        <v>10185.795454545463</v>
      </c>
      <c r="J192" s="204">
        <f t="shared" si="13"/>
        <v>122229.54545454556</v>
      </c>
      <c r="K192" s="204"/>
      <c r="L192" s="163"/>
    </row>
    <row r="193" spans="3:12" x14ac:dyDescent="0.2">
      <c r="C193" s="204">
        <v>1</v>
      </c>
      <c r="D193" s="205"/>
      <c r="E193" s="204">
        <v>1</v>
      </c>
      <c r="F193" s="204">
        <v>27</v>
      </c>
      <c r="G193" s="204">
        <f t="shared" si="10"/>
        <v>34</v>
      </c>
      <c r="H193" s="204">
        <f t="shared" si="11"/>
        <v>4248.4343434343473</v>
      </c>
      <c r="I193" s="204">
        <f t="shared" si="12"/>
        <v>9558.9772727272812</v>
      </c>
      <c r="J193" s="204">
        <f t="shared" si="13"/>
        <v>114707.72727272738</v>
      </c>
      <c r="K193" s="204"/>
      <c r="L193" s="163"/>
    </row>
    <row r="194" spans="3:12" x14ac:dyDescent="0.2">
      <c r="C194" s="204">
        <v>1</v>
      </c>
      <c r="D194" s="205"/>
      <c r="E194" s="204">
        <v>1</v>
      </c>
      <c r="F194" s="204">
        <v>34</v>
      </c>
      <c r="G194" s="204">
        <f t="shared" si="10"/>
        <v>34</v>
      </c>
      <c r="H194" s="204">
        <f t="shared" si="11"/>
        <v>3760.9090909090942</v>
      </c>
      <c r="I194" s="204">
        <f t="shared" si="12"/>
        <v>10655.909090909101</v>
      </c>
      <c r="J194" s="204">
        <f t="shared" si="13"/>
        <v>127870.9090909092</v>
      </c>
      <c r="K194" s="204"/>
      <c r="L194" s="163"/>
    </row>
    <row r="195" spans="3:12" x14ac:dyDescent="0.2">
      <c r="C195" s="204">
        <v>1</v>
      </c>
      <c r="D195" s="205"/>
      <c r="E195" s="204">
        <v>1</v>
      </c>
      <c r="F195" s="204">
        <v>34</v>
      </c>
      <c r="G195" s="204">
        <f t="shared" si="10"/>
        <v>34</v>
      </c>
      <c r="H195" s="204">
        <f t="shared" si="11"/>
        <v>3760.9090909090942</v>
      </c>
      <c r="I195" s="204">
        <f t="shared" si="12"/>
        <v>10655.909090909101</v>
      </c>
      <c r="J195" s="204">
        <f t="shared" si="13"/>
        <v>127870.9090909092</v>
      </c>
      <c r="K195" s="204"/>
      <c r="L195" s="163"/>
    </row>
    <row r="196" spans="3:12" x14ac:dyDescent="0.2">
      <c r="C196" s="204">
        <v>1</v>
      </c>
      <c r="D196" s="205"/>
      <c r="E196" s="204">
        <v>1</v>
      </c>
      <c r="F196" s="204">
        <v>30</v>
      </c>
      <c r="G196" s="204">
        <f t="shared" si="10"/>
        <v>34</v>
      </c>
      <c r="H196" s="204">
        <f t="shared" si="11"/>
        <v>4011.6363636363672</v>
      </c>
      <c r="I196" s="204">
        <f t="shared" si="12"/>
        <v>10029.090909090917</v>
      </c>
      <c r="J196" s="204">
        <f t="shared" si="13"/>
        <v>120349.090909091</v>
      </c>
      <c r="K196" s="204"/>
      <c r="L196" s="163"/>
    </row>
    <row r="197" spans="3:12" x14ac:dyDescent="0.2">
      <c r="C197" s="204">
        <v>1</v>
      </c>
      <c r="D197" s="205"/>
      <c r="E197" s="204">
        <v>2</v>
      </c>
      <c r="F197" s="204">
        <v>39</v>
      </c>
      <c r="G197" s="204">
        <f t="shared" si="10"/>
        <v>40</v>
      </c>
      <c r="H197" s="204">
        <f t="shared" si="11"/>
        <v>3809.125874125878</v>
      </c>
      <c r="I197" s="204">
        <f t="shared" si="12"/>
        <v>12379.659090909103</v>
      </c>
      <c r="J197" s="204">
        <f t="shared" si="13"/>
        <v>148555.90909090923</v>
      </c>
      <c r="K197" s="204"/>
      <c r="L197" s="163"/>
    </row>
    <row r="198" spans="3:12" x14ac:dyDescent="0.2">
      <c r="C198" s="204">
        <v>1</v>
      </c>
      <c r="D198" s="205"/>
      <c r="E198" s="204">
        <v>2</v>
      </c>
      <c r="F198" s="204">
        <v>42</v>
      </c>
      <c r="G198" s="204">
        <f t="shared" si="10"/>
        <v>40</v>
      </c>
      <c r="H198" s="204">
        <f t="shared" si="11"/>
        <v>3671.3636363636392</v>
      </c>
      <c r="I198" s="204">
        <f t="shared" si="12"/>
        <v>12849.772727272737</v>
      </c>
      <c r="J198" s="204">
        <f t="shared" si="13"/>
        <v>154197.27272727285</v>
      </c>
      <c r="K198" s="204"/>
      <c r="L198" s="163"/>
    </row>
    <row r="199" spans="3:12" x14ac:dyDescent="0.2">
      <c r="C199" s="204">
        <v>1</v>
      </c>
      <c r="D199" s="205"/>
      <c r="E199" s="204">
        <v>1</v>
      </c>
      <c r="F199" s="204">
        <v>31</v>
      </c>
      <c r="G199" s="204">
        <f t="shared" si="10"/>
        <v>34</v>
      </c>
      <c r="H199" s="204">
        <f t="shared" si="11"/>
        <v>3942.8885630498567</v>
      </c>
      <c r="I199" s="204">
        <f t="shared" si="12"/>
        <v>10185.795454545463</v>
      </c>
      <c r="J199" s="204">
        <f t="shared" si="13"/>
        <v>122229.54545454556</v>
      </c>
      <c r="K199" s="204"/>
      <c r="L199" s="163"/>
    </row>
    <row r="200" spans="3:12" x14ac:dyDescent="0.2">
      <c r="C200" s="204">
        <v>1</v>
      </c>
      <c r="D200" s="205"/>
      <c r="E200" s="204">
        <v>1</v>
      </c>
      <c r="F200" s="204">
        <v>27</v>
      </c>
      <c r="G200" s="204">
        <f t="shared" si="10"/>
        <v>34</v>
      </c>
      <c r="H200" s="204">
        <f t="shared" si="11"/>
        <v>4248.4343434343473</v>
      </c>
      <c r="I200" s="204">
        <f t="shared" si="12"/>
        <v>9558.9772727272812</v>
      </c>
      <c r="J200" s="204">
        <f t="shared" si="13"/>
        <v>114707.72727272738</v>
      </c>
      <c r="K200" s="204"/>
      <c r="L200" s="163"/>
    </row>
    <row r="201" spans="3:12" x14ac:dyDescent="0.2">
      <c r="C201" s="204">
        <v>1</v>
      </c>
      <c r="D201" s="205"/>
      <c r="E201" s="204">
        <v>1</v>
      </c>
      <c r="F201" s="204">
        <v>34</v>
      </c>
      <c r="G201" s="204">
        <f t="shared" si="10"/>
        <v>34</v>
      </c>
      <c r="H201" s="204">
        <f t="shared" si="11"/>
        <v>3760.9090909090942</v>
      </c>
      <c r="I201" s="204">
        <f t="shared" si="12"/>
        <v>10655.909090909101</v>
      </c>
      <c r="J201" s="204">
        <f t="shared" si="13"/>
        <v>127870.9090909092</v>
      </c>
      <c r="K201" s="204"/>
      <c r="L201" s="163"/>
    </row>
    <row r="202" spans="3:12" x14ac:dyDescent="0.2">
      <c r="C202" s="204">
        <v>1</v>
      </c>
      <c r="D202" s="205"/>
      <c r="E202" s="204">
        <v>1</v>
      </c>
      <c r="F202" s="204">
        <v>34</v>
      </c>
      <c r="G202" s="204">
        <f t="shared" si="10"/>
        <v>34</v>
      </c>
      <c r="H202" s="204">
        <f t="shared" si="11"/>
        <v>3760.9090909090942</v>
      </c>
      <c r="I202" s="204">
        <f t="shared" si="12"/>
        <v>10655.909090909101</v>
      </c>
      <c r="J202" s="204">
        <f t="shared" si="13"/>
        <v>127870.9090909092</v>
      </c>
      <c r="K202" s="204"/>
      <c r="L202" s="163"/>
    </row>
    <row r="203" spans="3:12" x14ac:dyDescent="0.2">
      <c r="C203" s="204">
        <v>1</v>
      </c>
      <c r="D203" s="205"/>
      <c r="E203" s="204">
        <v>1</v>
      </c>
      <c r="F203" s="204">
        <v>30</v>
      </c>
      <c r="G203" s="204">
        <f t="shared" si="10"/>
        <v>34</v>
      </c>
      <c r="H203" s="204">
        <f t="shared" si="11"/>
        <v>4011.6363636363672</v>
      </c>
      <c r="I203" s="204">
        <f t="shared" si="12"/>
        <v>10029.090909090917</v>
      </c>
      <c r="J203" s="204">
        <f t="shared" si="13"/>
        <v>120349.090909091</v>
      </c>
      <c r="K203" s="204"/>
      <c r="L203" s="163"/>
    </row>
    <row r="204" spans="3:12" x14ac:dyDescent="0.2">
      <c r="C204" s="204">
        <v>1</v>
      </c>
      <c r="D204" s="205"/>
      <c r="E204" s="204">
        <v>2</v>
      </c>
      <c r="F204" s="204">
        <v>39</v>
      </c>
      <c r="G204" s="204">
        <f t="shared" si="10"/>
        <v>40</v>
      </c>
      <c r="H204" s="204">
        <f t="shared" si="11"/>
        <v>3809.125874125878</v>
      </c>
      <c r="I204" s="204">
        <f t="shared" si="12"/>
        <v>12379.659090909103</v>
      </c>
      <c r="J204" s="204">
        <f t="shared" si="13"/>
        <v>148555.90909090923</v>
      </c>
      <c r="K204" s="204"/>
      <c r="L204" s="163"/>
    </row>
    <row r="205" spans="3:12" x14ac:dyDescent="0.2">
      <c r="C205" s="204">
        <v>1</v>
      </c>
      <c r="D205" s="205"/>
      <c r="E205" s="204">
        <v>2</v>
      </c>
      <c r="F205" s="204">
        <v>42</v>
      </c>
      <c r="G205" s="204">
        <f t="shared" si="10"/>
        <v>40</v>
      </c>
      <c r="H205" s="204">
        <f t="shared" si="11"/>
        <v>3671.3636363636392</v>
      </c>
      <c r="I205" s="204">
        <f t="shared" si="12"/>
        <v>12849.772727272737</v>
      </c>
      <c r="J205" s="204">
        <f t="shared" si="13"/>
        <v>154197.27272727285</v>
      </c>
      <c r="K205" s="204"/>
      <c r="L205" s="163"/>
    </row>
    <row r="206" spans="3:12" x14ac:dyDescent="0.2">
      <c r="C206" s="204">
        <v>1</v>
      </c>
      <c r="D206" s="205"/>
      <c r="E206" s="204">
        <v>1</v>
      </c>
      <c r="F206" s="204">
        <v>31</v>
      </c>
      <c r="G206" s="204">
        <f t="shared" si="10"/>
        <v>34</v>
      </c>
      <c r="H206" s="204">
        <f t="shared" si="11"/>
        <v>3942.8885630498567</v>
      </c>
      <c r="I206" s="204">
        <f t="shared" si="12"/>
        <v>10185.795454545463</v>
      </c>
      <c r="J206" s="204">
        <f t="shared" si="13"/>
        <v>122229.54545454556</v>
      </c>
      <c r="K206" s="204"/>
      <c r="L206" s="163"/>
    </row>
    <row r="207" spans="3:12" x14ac:dyDescent="0.2">
      <c r="C207" s="204">
        <v>1</v>
      </c>
      <c r="D207" s="205"/>
      <c r="E207" s="204">
        <v>1</v>
      </c>
      <c r="F207" s="204">
        <v>27</v>
      </c>
      <c r="G207" s="204">
        <f t="shared" si="10"/>
        <v>34</v>
      </c>
      <c r="H207" s="204">
        <f t="shared" si="11"/>
        <v>4248.4343434343473</v>
      </c>
      <c r="I207" s="204">
        <f t="shared" si="12"/>
        <v>9558.9772727272812</v>
      </c>
      <c r="J207" s="204">
        <f t="shared" si="13"/>
        <v>114707.72727272738</v>
      </c>
      <c r="K207" s="204"/>
      <c r="L207" s="163"/>
    </row>
    <row r="208" spans="3:12" x14ac:dyDescent="0.2">
      <c r="C208" s="204">
        <v>1</v>
      </c>
      <c r="D208" s="205"/>
      <c r="E208" s="204">
        <v>1</v>
      </c>
      <c r="F208" s="204">
        <v>34</v>
      </c>
      <c r="G208" s="204">
        <f t="shared" si="10"/>
        <v>34</v>
      </c>
      <c r="H208" s="204">
        <f t="shared" si="11"/>
        <v>3760.9090909090942</v>
      </c>
      <c r="I208" s="204">
        <f t="shared" si="12"/>
        <v>10655.909090909101</v>
      </c>
      <c r="J208" s="204">
        <f t="shared" si="13"/>
        <v>127870.9090909092</v>
      </c>
      <c r="K208" s="204"/>
      <c r="L208" s="154"/>
    </row>
    <row r="209" spans="3:12" x14ac:dyDescent="0.2">
      <c r="C209" s="204">
        <v>1</v>
      </c>
      <c r="D209" s="205"/>
      <c r="E209" s="204">
        <v>1</v>
      </c>
      <c r="F209" s="204">
        <v>34</v>
      </c>
      <c r="G209" s="204">
        <f t="shared" si="10"/>
        <v>34</v>
      </c>
      <c r="H209" s="204">
        <f t="shared" si="11"/>
        <v>3760.9090909090942</v>
      </c>
      <c r="I209" s="204">
        <f t="shared" si="12"/>
        <v>10655.909090909101</v>
      </c>
      <c r="J209" s="204">
        <f t="shared" si="13"/>
        <v>127870.9090909092</v>
      </c>
      <c r="K209" s="204"/>
      <c r="L209" s="154"/>
    </row>
    <row r="210" spans="3:12" x14ac:dyDescent="0.2">
      <c r="C210" s="204">
        <v>1</v>
      </c>
      <c r="D210" s="205"/>
      <c r="E210" s="204">
        <v>1</v>
      </c>
      <c r="F210" s="204">
        <v>30</v>
      </c>
      <c r="G210" s="204">
        <f t="shared" si="10"/>
        <v>34</v>
      </c>
      <c r="H210" s="204">
        <f t="shared" si="11"/>
        <v>4011.6363636363672</v>
      </c>
      <c r="I210" s="204">
        <f t="shared" si="12"/>
        <v>10029.090909090917</v>
      </c>
      <c r="J210" s="204">
        <f t="shared" si="13"/>
        <v>120349.090909091</v>
      </c>
      <c r="K210" s="204"/>
      <c r="L210" s="154"/>
    </row>
    <row r="211" spans="3:12" x14ac:dyDescent="0.2">
      <c r="C211" s="204">
        <v>1</v>
      </c>
      <c r="D211" s="205"/>
      <c r="E211" s="204">
        <v>2</v>
      </c>
      <c r="F211" s="204">
        <v>39</v>
      </c>
      <c r="G211" s="204">
        <f t="shared" si="10"/>
        <v>40</v>
      </c>
      <c r="H211" s="204">
        <f t="shared" si="11"/>
        <v>3809.125874125878</v>
      </c>
      <c r="I211" s="204">
        <f t="shared" si="12"/>
        <v>12379.659090909103</v>
      </c>
      <c r="J211" s="204">
        <f t="shared" si="13"/>
        <v>148555.90909090923</v>
      </c>
      <c r="K211" s="204"/>
      <c r="L211" s="154"/>
    </row>
    <row r="212" spans="3:12" x14ac:dyDescent="0.2">
      <c r="C212" s="204">
        <v>1</v>
      </c>
      <c r="D212" s="205"/>
      <c r="E212" s="204">
        <v>2</v>
      </c>
      <c r="F212" s="204">
        <v>42</v>
      </c>
      <c r="G212" s="204">
        <f t="shared" si="10"/>
        <v>40</v>
      </c>
      <c r="H212" s="204">
        <f t="shared" si="11"/>
        <v>3671.3636363636392</v>
      </c>
      <c r="I212" s="204">
        <f t="shared" si="12"/>
        <v>12849.772727272737</v>
      </c>
      <c r="J212" s="204">
        <f t="shared" si="13"/>
        <v>154197.27272727285</v>
      </c>
      <c r="K212" s="204"/>
      <c r="L212" s="154"/>
    </row>
    <row r="213" spans="3:12" x14ac:dyDescent="0.2">
      <c r="C213" s="204">
        <v>1</v>
      </c>
      <c r="D213" s="205"/>
      <c r="E213" s="204">
        <v>1</v>
      </c>
      <c r="F213" s="204">
        <v>31</v>
      </c>
      <c r="G213" s="204">
        <f t="shared" si="10"/>
        <v>34</v>
      </c>
      <c r="H213" s="204">
        <f t="shared" si="11"/>
        <v>3942.8885630498567</v>
      </c>
      <c r="I213" s="204">
        <f t="shared" si="12"/>
        <v>10185.795454545463</v>
      </c>
      <c r="J213" s="204">
        <f t="shared" si="13"/>
        <v>122229.54545454556</v>
      </c>
      <c r="K213" s="204"/>
      <c r="L213" s="154"/>
    </row>
    <row r="214" spans="3:12" x14ac:dyDescent="0.2">
      <c r="C214" s="204">
        <v>1</v>
      </c>
      <c r="D214" s="205"/>
      <c r="E214" s="204">
        <v>1</v>
      </c>
      <c r="F214" s="204">
        <v>27</v>
      </c>
      <c r="G214" s="204">
        <f t="shared" si="10"/>
        <v>34</v>
      </c>
      <c r="H214" s="204">
        <f t="shared" si="11"/>
        <v>4248.4343434343473</v>
      </c>
      <c r="I214" s="204">
        <f t="shared" si="12"/>
        <v>9558.9772727272812</v>
      </c>
      <c r="J214" s="204">
        <f t="shared" si="13"/>
        <v>114707.72727272738</v>
      </c>
      <c r="K214" s="204"/>
      <c r="L214" s="154"/>
    </row>
    <row r="215" spans="3:12" x14ac:dyDescent="0.2">
      <c r="C215" s="204">
        <v>1</v>
      </c>
      <c r="D215" s="205"/>
      <c r="E215" s="204">
        <v>1</v>
      </c>
      <c r="F215" s="204">
        <v>34</v>
      </c>
      <c r="G215" s="204">
        <f t="shared" si="10"/>
        <v>34</v>
      </c>
      <c r="H215" s="204">
        <f t="shared" si="11"/>
        <v>3760.9090909090942</v>
      </c>
      <c r="I215" s="204">
        <f t="shared" si="12"/>
        <v>10655.909090909101</v>
      </c>
      <c r="J215" s="204">
        <f t="shared" si="13"/>
        <v>127870.9090909092</v>
      </c>
      <c r="K215" s="204"/>
      <c r="L215" s="154"/>
    </row>
    <row r="216" spans="3:12" x14ac:dyDescent="0.2">
      <c r="C216" s="204">
        <v>1</v>
      </c>
      <c r="D216" s="205"/>
      <c r="E216" s="204">
        <v>1</v>
      </c>
      <c r="F216" s="204">
        <v>34</v>
      </c>
      <c r="G216" s="204">
        <f t="shared" si="10"/>
        <v>34</v>
      </c>
      <c r="H216" s="204">
        <f t="shared" si="11"/>
        <v>3760.9090909090942</v>
      </c>
      <c r="I216" s="204">
        <f t="shared" si="12"/>
        <v>10655.909090909101</v>
      </c>
      <c r="J216" s="204">
        <f t="shared" si="13"/>
        <v>127870.9090909092</v>
      </c>
      <c r="K216" s="204"/>
      <c r="L216" s="154"/>
    </row>
    <row r="217" spans="3:12" x14ac:dyDescent="0.2">
      <c r="C217" s="204">
        <v>1</v>
      </c>
      <c r="D217" s="205"/>
      <c r="E217" s="204">
        <v>1</v>
      </c>
      <c r="F217" s="204">
        <v>30</v>
      </c>
      <c r="G217" s="204">
        <f t="shared" si="10"/>
        <v>34</v>
      </c>
      <c r="H217" s="204">
        <f t="shared" si="11"/>
        <v>4011.6363636363672</v>
      </c>
      <c r="I217" s="204">
        <f t="shared" si="12"/>
        <v>10029.090909090917</v>
      </c>
      <c r="J217" s="204">
        <f t="shared" si="13"/>
        <v>120349.090909091</v>
      </c>
      <c r="K217" s="204"/>
      <c r="L217" s="154"/>
    </row>
    <row r="218" spans="3:12" x14ac:dyDescent="0.2">
      <c r="C218" s="204">
        <v>1</v>
      </c>
      <c r="D218" s="205"/>
      <c r="E218" s="204">
        <v>2</v>
      </c>
      <c r="F218" s="204">
        <v>39</v>
      </c>
      <c r="G218" s="204">
        <f t="shared" ref="G218:G281" si="15">IF(E218=1,34,IF(E218=2,40,IF(E218=3,44,IF(E218=4,49,IF(E218=5,52,IF(E218=6,55,IF(E218=1.5,27,IF(E218=2.5,34))))))))</f>
        <v>40</v>
      </c>
      <c r="H218" s="204">
        <f t="shared" ref="H218:H281" si="16">+$H$3*(F218+G218)/(1.57142857142857)/F218</f>
        <v>3809.125874125878</v>
      </c>
      <c r="I218" s="204">
        <f t="shared" si="12"/>
        <v>12379.659090909103</v>
      </c>
      <c r="J218" s="204">
        <f t="shared" si="13"/>
        <v>148555.90909090923</v>
      </c>
      <c r="K218" s="204"/>
      <c r="L218" s="154"/>
    </row>
    <row r="219" spans="3:12" x14ac:dyDescent="0.2">
      <c r="C219" s="204">
        <v>1</v>
      </c>
      <c r="D219" s="205"/>
      <c r="E219" s="204">
        <v>2</v>
      </c>
      <c r="F219" s="204">
        <v>42</v>
      </c>
      <c r="G219" s="204">
        <f t="shared" si="15"/>
        <v>40</v>
      </c>
      <c r="H219" s="204">
        <f t="shared" si="16"/>
        <v>3671.3636363636392</v>
      </c>
      <c r="I219" s="204">
        <f t="shared" ref="I219:I282" si="17">+F219*H219/12</f>
        <v>12849.772727272737</v>
      </c>
      <c r="J219" s="204">
        <f t="shared" ref="J219:J282" si="18">+I219*12</f>
        <v>154197.27272727285</v>
      </c>
      <c r="K219" s="204"/>
      <c r="L219" s="154"/>
    </row>
    <row r="220" spans="3:12" x14ac:dyDescent="0.2">
      <c r="C220" s="204">
        <v>1</v>
      </c>
      <c r="D220" s="205"/>
      <c r="E220" s="204">
        <v>1</v>
      </c>
      <c r="F220" s="204">
        <v>31</v>
      </c>
      <c r="G220" s="204">
        <f t="shared" si="15"/>
        <v>34</v>
      </c>
      <c r="H220" s="204">
        <f t="shared" si="16"/>
        <v>3942.8885630498567</v>
      </c>
      <c r="I220" s="204">
        <f t="shared" si="17"/>
        <v>10185.795454545463</v>
      </c>
      <c r="J220" s="204">
        <f t="shared" si="18"/>
        <v>122229.54545454556</v>
      </c>
      <c r="K220" s="204"/>
      <c r="L220" s="154"/>
    </row>
    <row r="221" spans="3:12" x14ac:dyDescent="0.2">
      <c r="C221" s="204">
        <v>1</v>
      </c>
      <c r="D221" s="205"/>
      <c r="E221" s="204">
        <v>1</v>
      </c>
      <c r="F221" s="204">
        <v>27</v>
      </c>
      <c r="G221" s="204">
        <f t="shared" si="15"/>
        <v>34</v>
      </c>
      <c r="H221" s="204">
        <f t="shared" si="16"/>
        <v>4248.4343434343473</v>
      </c>
      <c r="I221" s="204">
        <f t="shared" si="17"/>
        <v>9558.9772727272812</v>
      </c>
      <c r="J221" s="204">
        <f t="shared" si="18"/>
        <v>114707.72727272738</v>
      </c>
      <c r="K221" s="204"/>
      <c r="L221" s="154"/>
    </row>
    <row r="222" spans="3:12" x14ac:dyDescent="0.2">
      <c r="C222" s="204">
        <v>1</v>
      </c>
      <c r="D222" s="205"/>
      <c r="E222" s="204">
        <v>1</v>
      </c>
      <c r="F222" s="204">
        <v>34</v>
      </c>
      <c r="G222" s="204">
        <f t="shared" si="15"/>
        <v>34</v>
      </c>
      <c r="H222" s="204">
        <f t="shared" si="16"/>
        <v>3760.9090909090942</v>
      </c>
      <c r="I222" s="204">
        <f t="shared" si="17"/>
        <v>10655.909090909101</v>
      </c>
      <c r="J222" s="204">
        <f t="shared" si="18"/>
        <v>127870.9090909092</v>
      </c>
      <c r="K222" s="204"/>
      <c r="L222" s="154"/>
    </row>
    <row r="223" spans="3:12" x14ac:dyDescent="0.2">
      <c r="C223" s="204">
        <v>1</v>
      </c>
      <c r="D223" s="205"/>
      <c r="E223" s="204">
        <v>1</v>
      </c>
      <c r="F223" s="204">
        <v>34</v>
      </c>
      <c r="G223" s="204">
        <f t="shared" si="15"/>
        <v>34</v>
      </c>
      <c r="H223" s="204">
        <f t="shared" si="16"/>
        <v>3760.9090909090942</v>
      </c>
      <c r="I223" s="204">
        <f t="shared" si="17"/>
        <v>10655.909090909101</v>
      </c>
      <c r="J223" s="204">
        <f t="shared" si="18"/>
        <v>127870.9090909092</v>
      </c>
      <c r="K223" s="204"/>
      <c r="L223" s="154"/>
    </row>
    <row r="224" spans="3:12" x14ac:dyDescent="0.2">
      <c r="C224" s="204">
        <v>1</v>
      </c>
      <c r="D224" s="205"/>
      <c r="E224" s="204">
        <v>1</v>
      </c>
      <c r="F224" s="204">
        <v>30</v>
      </c>
      <c r="G224" s="204">
        <f t="shared" si="15"/>
        <v>34</v>
      </c>
      <c r="H224" s="204">
        <f t="shared" si="16"/>
        <v>4011.6363636363672</v>
      </c>
      <c r="I224" s="204">
        <f t="shared" si="17"/>
        <v>10029.090909090917</v>
      </c>
      <c r="J224" s="204">
        <f t="shared" si="18"/>
        <v>120349.090909091</v>
      </c>
      <c r="K224" s="204"/>
      <c r="L224" s="154"/>
    </row>
    <row r="225" spans="3:12" x14ac:dyDescent="0.2">
      <c r="C225" s="204">
        <v>1</v>
      </c>
      <c r="D225" s="205"/>
      <c r="E225" s="204">
        <v>2</v>
      </c>
      <c r="F225" s="204">
        <v>39</v>
      </c>
      <c r="G225" s="204">
        <f t="shared" si="15"/>
        <v>40</v>
      </c>
      <c r="H225" s="204">
        <f t="shared" si="16"/>
        <v>3809.125874125878</v>
      </c>
      <c r="I225" s="204">
        <f t="shared" si="17"/>
        <v>12379.659090909103</v>
      </c>
      <c r="J225" s="204">
        <f t="shared" si="18"/>
        <v>148555.90909090923</v>
      </c>
      <c r="K225" s="204"/>
      <c r="L225" s="154"/>
    </row>
    <row r="226" spans="3:12" x14ac:dyDescent="0.2">
      <c r="C226" s="204">
        <v>1</v>
      </c>
      <c r="D226" s="205"/>
      <c r="E226" s="204">
        <v>2</v>
      </c>
      <c r="F226" s="204">
        <v>42</v>
      </c>
      <c r="G226" s="204">
        <f t="shared" si="15"/>
        <v>40</v>
      </c>
      <c r="H226" s="204">
        <f t="shared" si="16"/>
        <v>3671.3636363636392</v>
      </c>
      <c r="I226" s="204">
        <f t="shared" si="17"/>
        <v>12849.772727272737</v>
      </c>
      <c r="J226" s="204">
        <f t="shared" si="18"/>
        <v>154197.27272727285</v>
      </c>
      <c r="K226" s="204"/>
      <c r="L226" s="154"/>
    </row>
    <row r="227" spans="3:12" x14ac:dyDescent="0.2">
      <c r="C227" s="204">
        <v>1</v>
      </c>
      <c r="D227" s="205"/>
      <c r="E227" s="204">
        <v>1</v>
      </c>
      <c r="F227" s="204">
        <v>31</v>
      </c>
      <c r="G227" s="204">
        <f t="shared" si="15"/>
        <v>34</v>
      </c>
      <c r="H227" s="204">
        <f t="shared" si="16"/>
        <v>3942.8885630498567</v>
      </c>
      <c r="I227" s="204">
        <f t="shared" si="17"/>
        <v>10185.795454545463</v>
      </c>
      <c r="J227" s="204">
        <f t="shared" si="18"/>
        <v>122229.54545454556</v>
      </c>
      <c r="K227" s="204"/>
      <c r="L227" s="154"/>
    </row>
    <row r="228" spans="3:12" x14ac:dyDescent="0.2">
      <c r="C228" s="204">
        <v>1</v>
      </c>
      <c r="D228" s="205"/>
      <c r="E228" s="204">
        <v>1</v>
      </c>
      <c r="F228" s="204">
        <v>27</v>
      </c>
      <c r="G228" s="204">
        <f t="shared" si="15"/>
        <v>34</v>
      </c>
      <c r="H228" s="204">
        <f t="shared" si="16"/>
        <v>4248.4343434343473</v>
      </c>
      <c r="I228" s="204">
        <f t="shared" si="17"/>
        <v>9558.9772727272812</v>
      </c>
      <c r="J228" s="204">
        <f t="shared" si="18"/>
        <v>114707.72727272738</v>
      </c>
      <c r="K228" s="204"/>
      <c r="L228" s="154"/>
    </row>
    <row r="229" spans="3:12" x14ac:dyDescent="0.2">
      <c r="C229" s="204">
        <v>1</v>
      </c>
      <c r="D229" s="205"/>
      <c r="E229" s="204">
        <v>1</v>
      </c>
      <c r="F229" s="204">
        <v>34</v>
      </c>
      <c r="G229" s="204">
        <f t="shared" si="15"/>
        <v>34</v>
      </c>
      <c r="H229" s="204">
        <f t="shared" si="16"/>
        <v>3760.9090909090942</v>
      </c>
      <c r="I229" s="204">
        <f t="shared" si="17"/>
        <v>10655.909090909101</v>
      </c>
      <c r="J229" s="204">
        <f t="shared" si="18"/>
        <v>127870.9090909092</v>
      </c>
      <c r="K229" s="204"/>
      <c r="L229" s="154"/>
    </row>
    <row r="230" spans="3:12" x14ac:dyDescent="0.2">
      <c r="C230" s="204">
        <v>1</v>
      </c>
      <c r="D230" s="205"/>
      <c r="E230" s="204">
        <v>1</v>
      </c>
      <c r="F230" s="204">
        <v>34</v>
      </c>
      <c r="G230" s="204">
        <f t="shared" si="15"/>
        <v>34</v>
      </c>
      <c r="H230" s="204">
        <f t="shared" si="16"/>
        <v>3760.9090909090942</v>
      </c>
      <c r="I230" s="204">
        <f t="shared" si="17"/>
        <v>10655.909090909101</v>
      </c>
      <c r="J230" s="204">
        <f t="shared" si="18"/>
        <v>127870.9090909092</v>
      </c>
      <c r="K230" s="204"/>
      <c r="L230" s="154"/>
    </row>
    <row r="231" spans="3:12" x14ac:dyDescent="0.2">
      <c r="C231" s="204">
        <v>1</v>
      </c>
      <c r="D231" s="205"/>
      <c r="E231" s="204">
        <v>1</v>
      </c>
      <c r="F231" s="204">
        <v>30</v>
      </c>
      <c r="G231" s="204">
        <f t="shared" si="15"/>
        <v>34</v>
      </c>
      <c r="H231" s="204">
        <f t="shared" si="16"/>
        <v>4011.6363636363672</v>
      </c>
      <c r="I231" s="204">
        <f t="shared" si="17"/>
        <v>10029.090909090917</v>
      </c>
      <c r="J231" s="204">
        <f t="shared" si="18"/>
        <v>120349.090909091</v>
      </c>
      <c r="K231" s="204"/>
      <c r="L231" s="154"/>
    </row>
    <row r="232" spans="3:12" x14ac:dyDescent="0.2">
      <c r="C232" s="204">
        <v>1</v>
      </c>
      <c r="D232" s="205"/>
      <c r="E232" s="204">
        <v>2</v>
      </c>
      <c r="F232" s="204">
        <v>54</v>
      </c>
      <c r="G232" s="204">
        <f t="shared" si="15"/>
        <v>40</v>
      </c>
      <c r="H232" s="204">
        <f t="shared" si="16"/>
        <v>3273.3838383838415</v>
      </c>
      <c r="I232" s="204">
        <f t="shared" si="17"/>
        <v>14730.227272727287</v>
      </c>
      <c r="J232" s="204">
        <f t="shared" si="18"/>
        <v>176762.72727272744</v>
      </c>
      <c r="K232" s="204"/>
      <c r="L232" s="154"/>
    </row>
    <row r="233" spans="3:12" x14ac:dyDescent="0.2">
      <c r="C233" s="204">
        <v>1</v>
      </c>
      <c r="D233" s="205"/>
      <c r="E233" s="204">
        <v>3</v>
      </c>
      <c r="F233" s="204">
        <v>62</v>
      </c>
      <c r="G233" s="204">
        <f t="shared" si="15"/>
        <v>44</v>
      </c>
      <c r="H233" s="204">
        <f t="shared" si="16"/>
        <v>3214.9706744868063</v>
      </c>
      <c r="I233" s="204">
        <f t="shared" si="17"/>
        <v>16610.681818181834</v>
      </c>
      <c r="J233" s="204">
        <f t="shared" si="18"/>
        <v>199328.181818182</v>
      </c>
      <c r="K233" s="204"/>
      <c r="L233" s="154"/>
    </row>
    <row r="234" spans="3:12" x14ac:dyDescent="0.2">
      <c r="C234" s="204">
        <v>1</v>
      </c>
      <c r="D234" s="205"/>
      <c r="E234" s="204">
        <v>1</v>
      </c>
      <c r="F234" s="204">
        <v>30</v>
      </c>
      <c r="G234" s="204">
        <f t="shared" si="15"/>
        <v>34</v>
      </c>
      <c r="H234" s="204">
        <f t="shared" si="16"/>
        <v>4011.6363636363672</v>
      </c>
      <c r="I234" s="204">
        <f t="shared" si="17"/>
        <v>10029.090909090917</v>
      </c>
      <c r="J234" s="204">
        <f t="shared" si="18"/>
        <v>120349.090909091</v>
      </c>
      <c r="K234" s="204"/>
      <c r="L234" s="154"/>
    </row>
    <row r="235" spans="3:12" x14ac:dyDescent="0.2">
      <c r="C235" s="204">
        <v>1</v>
      </c>
      <c r="D235" s="205"/>
      <c r="E235" s="204">
        <v>2</v>
      </c>
      <c r="F235" s="204">
        <v>34</v>
      </c>
      <c r="G235" s="204">
        <f t="shared" si="15"/>
        <v>40</v>
      </c>
      <c r="H235" s="204">
        <f t="shared" si="16"/>
        <v>4092.754010695191</v>
      </c>
      <c r="I235" s="204">
        <f t="shared" si="17"/>
        <v>11596.136363636375</v>
      </c>
      <c r="J235" s="204">
        <f t="shared" si="18"/>
        <v>139153.6363636365</v>
      </c>
      <c r="K235" s="204"/>
      <c r="L235" s="154"/>
    </row>
    <row r="236" spans="3:12" x14ac:dyDescent="0.2">
      <c r="C236" s="204">
        <v>1</v>
      </c>
      <c r="D236" s="205"/>
      <c r="E236" s="204">
        <v>3</v>
      </c>
      <c r="F236" s="204">
        <v>62</v>
      </c>
      <c r="G236" s="204">
        <f t="shared" si="15"/>
        <v>44</v>
      </c>
      <c r="H236" s="204">
        <f t="shared" si="16"/>
        <v>3214.9706744868063</v>
      </c>
      <c r="I236" s="204">
        <f t="shared" si="17"/>
        <v>16610.681818181834</v>
      </c>
      <c r="J236" s="204">
        <f t="shared" si="18"/>
        <v>199328.181818182</v>
      </c>
      <c r="K236" s="204"/>
      <c r="L236" s="154"/>
    </row>
    <row r="237" spans="3:12" x14ac:dyDescent="0.2">
      <c r="C237" s="204">
        <v>1</v>
      </c>
      <c r="D237" s="205"/>
      <c r="E237" s="204">
        <v>3</v>
      </c>
      <c r="F237" s="204">
        <v>62</v>
      </c>
      <c r="G237" s="204">
        <f t="shared" si="15"/>
        <v>44</v>
      </c>
      <c r="H237" s="204">
        <f t="shared" si="16"/>
        <v>3214.9706744868063</v>
      </c>
      <c r="I237" s="204">
        <f t="shared" si="17"/>
        <v>16610.681818181834</v>
      </c>
      <c r="J237" s="204">
        <f t="shared" si="18"/>
        <v>199328.181818182</v>
      </c>
      <c r="K237" s="204"/>
      <c r="L237" s="154"/>
    </row>
    <row r="238" spans="3:12" x14ac:dyDescent="0.2">
      <c r="C238" s="204">
        <v>1</v>
      </c>
      <c r="D238" s="205"/>
      <c r="E238" s="204">
        <v>2</v>
      </c>
      <c r="F238" s="204">
        <v>34</v>
      </c>
      <c r="G238" s="204">
        <f t="shared" si="15"/>
        <v>40</v>
      </c>
      <c r="H238" s="204">
        <f t="shared" si="16"/>
        <v>4092.754010695191</v>
      </c>
      <c r="I238" s="204">
        <f t="shared" si="17"/>
        <v>11596.136363636375</v>
      </c>
      <c r="J238" s="204">
        <f t="shared" si="18"/>
        <v>139153.6363636365</v>
      </c>
      <c r="K238" s="204"/>
      <c r="L238" s="154"/>
    </row>
    <row r="239" spans="3:12" x14ac:dyDescent="0.2">
      <c r="C239" s="204">
        <v>1</v>
      </c>
      <c r="D239" s="205"/>
      <c r="E239" s="204">
        <v>2</v>
      </c>
      <c r="F239" s="204">
        <v>34</v>
      </c>
      <c r="G239" s="204">
        <f t="shared" si="15"/>
        <v>40</v>
      </c>
      <c r="H239" s="204">
        <f t="shared" si="16"/>
        <v>4092.754010695191</v>
      </c>
      <c r="I239" s="204">
        <f t="shared" si="17"/>
        <v>11596.136363636375</v>
      </c>
      <c r="J239" s="204">
        <f t="shared" si="18"/>
        <v>139153.6363636365</v>
      </c>
      <c r="K239" s="204"/>
      <c r="L239" s="154"/>
    </row>
    <row r="240" spans="3:12" x14ac:dyDescent="0.2">
      <c r="C240" s="204">
        <v>1</v>
      </c>
      <c r="D240" s="205"/>
      <c r="E240" s="204">
        <v>3</v>
      </c>
      <c r="F240" s="204">
        <v>62</v>
      </c>
      <c r="G240" s="204">
        <f t="shared" si="15"/>
        <v>44</v>
      </c>
      <c r="H240" s="204">
        <f t="shared" si="16"/>
        <v>3214.9706744868063</v>
      </c>
      <c r="I240" s="204">
        <f t="shared" si="17"/>
        <v>16610.681818181834</v>
      </c>
      <c r="J240" s="204">
        <f t="shared" si="18"/>
        <v>199328.181818182</v>
      </c>
      <c r="K240" s="204"/>
      <c r="L240" s="154"/>
    </row>
    <row r="241" spans="3:12" x14ac:dyDescent="0.2">
      <c r="C241" s="204">
        <v>1</v>
      </c>
      <c r="D241" s="205"/>
      <c r="E241" s="204">
        <v>3</v>
      </c>
      <c r="F241" s="204">
        <v>62</v>
      </c>
      <c r="G241" s="204">
        <f t="shared" si="15"/>
        <v>44</v>
      </c>
      <c r="H241" s="204">
        <f t="shared" si="16"/>
        <v>3214.9706744868063</v>
      </c>
      <c r="I241" s="204">
        <f t="shared" si="17"/>
        <v>16610.681818181834</v>
      </c>
      <c r="J241" s="204">
        <f t="shared" si="18"/>
        <v>199328.181818182</v>
      </c>
      <c r="K241" s="204"/>
      <c r="L241" s="154"/>
    </row>
    <row r="242" spans="3:12" x14ac:dyDescent="0.2">
      <c r="C242" s="204">
        <v>1</v>
      </c>
      <c r="D242" s="205"/>
      <c r="E242" s="204">
        <v>2</v>
      </c>
      <c r="F242" s="204">
        <v>34</v>
      </c>
      <c r="G242" s="204">
        <f t="shared" si="15"/>
        <v>40</v>
      </c>
      <c r="H242" s="204">
        <f t="shared" si="16"/>
        <v>4092.754010695191</v>
      </c>
      <c r="I242" s="204">
        <f t="shared" si="17"/>
        <v>11596.136363636375</v>
      </c>
      <c r="J242" s="204">
        <f t="shared" si="18"/>
        <v>139153.6363636365</v>
      </c>
      <c r="K242" s="204"/>
      <c r="L242" s="154"/>
    </row>
    <row r="243" spans="3:12" x14ac:dyDescent="0.2">
      <c r="C243" s="204">
        <v>1</v>
      </c>
      <c r="D243" s="205"/>
      <c r="E243" s="204">
        <v>2</v>
      </c>
      <c r="F243" s="204">
        <v>34</v>
      </c>
      <c r="G243" s="204">
        <f t="shared" si="15"/>
        <v>40</v>
      </c>
      <c r="H243" s="204">
        <f t="shared" si="16"/>
        <v>4092.754010695191</v>
      </c>
      <c r="I243" s="204">
        <f t="shared" si="17"/>
        <v>11596.136363636375</v>
      </c>
      <c r="J243" s="204">
        <f t="shared" si="18"/>
        <v>139153.6363636365</v>
      </c>
      <c r="K243" s="204"/>
      <c r="L243" s="154"/>
    </row>
    <row r="244" spans="3:12" x14ac:dyDescent="0.2">
      <c r="C244" s="204">
        <v>1</v>
      </c>
      <c r="D244" s="205"/>
      <c r="E244" s="204">
        <v>3</v>
      </c>
      <c r="F244" s="204">
        <v>62</v>
      </c>
      <c r="G244" s="204">
        <f t="shared" si="15"/>
        <v>44</v>
      </c>
      <c r="H244" s="204">
        <f t="shared" si="16"/>
        <v>3214.9706744868063</v>
      </c>
      <c r="I244" s="204">
        <f t="shared" si="17"/>
        <v>16610.681818181834</v>
      </c>
      <c r="J244" s="204">
        <f t="shared" si="18"/>
        <v>199328.181818182</v>
      </c>
      <c r="K244" s="204"/>
      <c r="L244" s="154"/>
    </row>
    <row r="245" spans="3:12" x14ac:dyDescent="0.2">
      <c r="C245" s="204">
        <v>1</v>
      </c>
      <c r="D245" s="205"/>
      <c r="E245" s="204">
        <v>3</v>
      </c>
      <c r="F245" s="204">
        <v>62</v>
      </c>
      <c r="G245" s="204">
        <f t="shared" si="15"/>
        <v>44</v>
      </c>
      <c r="H245" s="204">
        <f t="shared" si="16"/>
        <v>3214.9706744868063</v>
      </c>
      <c r="I245" s="204">
        <f t="shared" si="17"/>
        <v>16610.681818181834</v>
      </c>
      <c r="J245" s="204">
        <f t="shared" si="18"/>
        <v>199328.181818182</v>
      </c>
      <c r="K245" s="204"/>
      <c r="L245" s="154"/>
    </row>
    <row r="246" spans="3:12" x14ac:dyDescent="0.2">
      <c r="C246" s="204">
        <v>1</v>
      </c>
      <c r="D246" s="205"/>
      <c r="E246" s="204">
        <v>2</v>
      </c>
      <c r="F246" s="204">
        <v>34</v>
      </c>
      <c r="G246" s="204">
        <f t="shared" si="15"/>
        <v>40</v>
      </c>
      <c r="H246" s="204">
        <f t="shared" si="16"/>
        <v>4092.754010695191</v>
      </c>
      <c r="I246" s="204">
        <f t="shared" si="17"/>
        <v>11596.136363636375</v>
      </c>
      <c r="J246" s="204">
        <f t="shared" si="18"/>
        <v>139153.6363636365</v>
      </c>
      <c r="K246" s="204"/>
      <c r="L246" s="154"/>
    </row>
    <row r="247" spans="3:12" x14ac:dyDescent="0.2">
      <c r="C247" s="204">
        <v>1</v>
      </c>
      <c r="D247" s="205"/>
      <c r="E247" s="204">
        <v>2</v>
      </c>
      <c r="F247" s="204">
        <v>34</v>
      </c>
      <c r="G247" s="204">
        <f t="shared" si="15"/>
        <v>40</v>
      </c>
      <c r="H247" s="204">
        <f t="shared" si="16"/>
        <v>4092.754010695191</v>
      </c>
      <c r="I247" s="204">
        <f t="shared" si="17"/>
        <v>11596.136363636375</v>
      </c>
      <c r="J247" s="204">
        <f t="shared" si="18"/>
        <v>139153.6363636365</v>
      </c>
      <c r="K247" s="204"/>
      <c r="L247" s="154"/>
    </row>
    <row r="248" spans="3:12" x14ac:dyDescent="0.2">
      <c r="C248" s="204">
        <v>1</v>
      </c>
      <c r="D248" s="205"/>
      <c r="E248" s="204">
        <v>3</v>
      </c>
      <c r="F248" s="204">
        <v>62</v>
      </c>
      <c r="G248" s="204">
        <f t="shared" si="15"/>
        <v>44</v>
      </c>
      <c r="H248" s="204">
        <f t="shared" si="16"/>
        <v>3214.9706744868063</v>
      </c>
      <c r="I248" s="204">
        <f t="shared" si="17"/>
        <v>16610.681818181834</v>
      </c>
      <c r="J248" s="204">
        <f t="shared" si="18"/>
        <v>199328.181818182</v>
      </c>
      <c r="K248" s="204"/>
      <c r="L248" s="154"/>
    </row>
    <row r="249" spans="3:12" x14ac:dyDescent="0.2">
      <c r="C249" s="204">
        <v>1</v>
      </c>
      <c r="D249" s="205"/>
      <c r="E249" s="204">
        <v>3</v>
      </c>
      <c r="F249" s="204">
        <v>62</v>
      </c>
      <c r="G249" s="204">
        <f t="shared" si="15"/>
        <v>44</v>
      </c>
      <c r="H249" s="204">
        <f t="shared" si="16"/>
        <v>3214.9706744868063</v>
      </c>
      <c r="I249" s="204">
        <f t="shared" si="17"/>
        <v>16610.681818181834</v>
      </c>
      <c r="J249" s="204">
        <f t="shared" si="18"/>
        <v>199328.181818182</v>
      </c>
      <c r="K249" s="204"/>
      <c r="L249" s="154"/>
    </row>
    <row r="250" spans="3:12" x14ac:dyDescent="0.2">
      <c r="C250" s="204">
        <v>1</v>
      </c>
      <c r="D250" s="205"/>
      <c r="E250" s="204">
        <v>2</v>
      </c>
      <c r="F250" s="204">
        <v>34</v>
      </c>
      <c r="G250" s="204">
        <f t="shared" si="15"/>
        <v>40</v>
      </c>
      <c r="H250" s="204">
        <f t="shared" si="16"/>
        <v>4092.754010695191</v>
      </c>
      <c r="I250" s="204">
        <f t="shared" si="17"/>
        <v>11596.136363636375</v>
      </c>
      <c r="J250" s="204">
        <f t="shared" si="18"/>
        <v>139153.6363636365</v>
      </c>
      <c r="K250" s="204"/>
      <c r="L250" s="154"/>
    </row>
    <row r="251" spans="3:12" x14ac:dyDescent="0.2">
      <c r="C251" s="204">
        <v>1</v>
      </c>
      <c r="D251" s="205"/>
      <c r="E251" s="204">
        <v>2</v>
      </c>
      <c r="F251" s="204">
        <v>34</v>
      </c>
      <c r="G251" s="204">
        <f t="shared" si="15"/>
        <v>40</v>
      </c>
      <c r="H251" s="204">
        <f t="shared" si="16"/>
        <v>4092.754010695191</v>
      </c>
      <c r="I251" s="204">
        <f t="shared" si="17"/>
        <v>11596.136363636375</v>
      </c>
      <c r="J251" s="204">
        <f t="shared" si="18"/>
        <v>139153.6363636365</v>
      </c>
      <c r="K251" s="204"/>
      <c r="L251" s="154"/>
    </row>
    <row r="252" spans="3:12" x14ac:dyDescent="0.2">
      <c r="C252" s="204">
        <v>1</v>
      </c>
      <c r="D252" s="205"/>
      <c r="E252" s="204">
        <v>3</v>
      </c>
      <c r="F252" s="204">
        <v>62</v>
      </c>
      <c r="G252" s="204">
        <f t="shared" si="15"/>
        <v>44</v>
      </c>
      <c r="H252" s="204">
        <f t="shared" si="16"/>
        <v>3214.9706744868063</v>
      </c>
      <c r="I252" s="204">
        <f t="shared" si="17"/>
        <v>16610.681818181834</v>
      </c>
      <c r="J252" s="204">
        <f t="shared" si="18"/>
        <v>199328.181818182</v>
      </c>
      <c r="K252" s="204"/>
      <c r="L252" s="154"/>
    </row>
    <row r="253" spans="3:12" x14ac:dyDescent="0.2">
      <c r="C253" s="204">
        <v>1</v>
      </c>
      <c r="D253" s="205"/>
      <c r="E253" s="204">
        <v>3</v>
      </c>
      <c r="F253" s="204">
        <v>62</v>
      </c>
      <c r="G253" s="204">
        <f t="shared" si="15"/>
        <v>44</v>
      </c>
      <c r="H253" s="204">
        <f t="shared" si="16"/>
        <v>3214.9706744868063</v>
      </c>
      <c r="I253" s="204">
        <f t="shared" si="17"/>
        <v>16610.681818181834</v>
      </c>
      <c r="J253" s="204">
        <f t="shared" si="18"/>
        <v>199328.181818182</v>
      </c>
      <c r="K253" s="204"/>
      <c r="L253" s="154"/>
    </row>
    <row r="254" spans="3:12" x14ac:dyDescent="0.2">
      <c r="C254" s="204">
        <v>1</v>
      </c>
      <c r="D254" s="205"/>
      <c r="E254" s="204">
        <v>2</v>
      </c>
      <c r="F254" s="204">
        <v>34</v>
      </c>
      <c r="G254" s="204">
        <f t="shared" si="15"/>
        <v>40</v>
      </c>
      <c r="H254" s="204">
        <f t="shared" si="16"/>
        <v>4092.754010695191</v>
      </c>
      <c r="I254" s="204">
        <f t="shared" si="17"/>
        <v>11596.136363636375</v>
      </c>
      <c r="J254" s="204">
        <f t="shared" si="18"/>
        <v>139153.6363636365</v>
      </c>
      <c r="K254" s="204"/>
      <c r="L254" s="154"/>
    </row>
    <row r="255" spans="3:12" x14ac:dyDescent="0.2">
      <c r="C255" s="204">
        <v>1</v>
      </c>
      <c r="D255" s="205"/>
      <c r="E255" s="204">
        <v>2</v>
      </c>
      <c r="F255" s="204">
        <v>34</v>
      </c>
      <c r="G255" s="204">
        <f t="shared" si="15"/>
        <v>40</v>
      </c>
      <c r="H255" s="204">
        <f t="shared" si="16"/>
        <v>4092.754010695191</v>
      </c>
      <c r="I255" s="204">
        <f t="shared" si="17"/>
        <v>11596.136363636375</v>
      </c>
      <c r="J255" s="204">
        <f t="shared" si="18"/>
        <v>139153.6363636365</v>
      </c>
      <c r="K255" s="204"/>
      <c r="L255" s="154"/>
    </row>
    <row r="256" spans="3:12" x14ac:dyDescent="0.2">
      <c r="C256" s="204">
        <v>1</v>
      </c>
      <c r="D256" s="205"/>
      <c r="E256" s="204">
        <v>3</v>
      </c>
      <c r="F256" s="204">
        <v>62</v>
      </c>
      <c r="G256" s="204">
        <f t="shared" si="15"/>
        <v>44</v>
      </c>
      <c r="H256" s="204">
        <f t="shared" si="16"/>
        <v>3214.9706744868063</v>
      </c>
      <c r="I256" s="204">
        <f t="shared" si="17"/>
        <v>16610.681818181834</v>
      </c>
      <c r="J256" s="204">
        <f t="shared" si="18"/>
        <v>199328.181818182</v>
      </c>
      <c r="K256" s="204"/>
      <c r="L256" s="154"/>
    </row>
    <row r="257" spans="3:12" x14ac:dyDescent="0.2">
      <c r="C257" s="204">
        <v>1</v>
      </c>
      <c r="D257" s="205"/>
      <c r="E257" s="204">
        <v>3</v>
      </c>
      <c r="F257" s="204">
        <v>62</v>
      </c>
      <c r="G257" s="204">
        <f t="shared" si="15"/>
        <v>44</v>
      </c>
      <c r="H257" s="204">
        <f t="shared" si="16"/>
        <v>3214.9706744868063</v>
      </c>
      <c r="I257" s="204">
        <f t="shared" si="17"/>
        <v>16610.681818181834</v>
      </c>
      <c r="J257" s="204">
        <f t="shared" si="18"/>
        <v>199328.181818182</v>
      </c>
      <c r="K257" s="204"/>
      <c r="L257" s="154"/>
    </row>
    <row r="258" spans="3:12" x14ac:dyDescent="0.2">
      <c r="C258" s="204">
        <v>1</v>
      </c>
      <c r="D258" s="205"/>
      <c r="E258" s="204">
        <v>2</v>
      </c>
      <c r="F258" s="204">
        <v>34</v>
      </c>
      <c r="G258" s="204">
        <f t="shared" si="15"/>
        <v>40</v>
      </c>
      <c r="H258" s="204">
        <f t="shared" si="16"/>
        <v>4092.754010695191</v>
      </c>
      <c r="I258" s="204">
        <f t="shared" si="17"/>
        <v>11596.136363636375</v>
      </c>
      <c r="J258" s="204">
        <f t="shared" si="18"/>
        <v>139153.6363636365</v>
      </c>
      <c r="K258" s="204"/>
      <c r="L258" s="154"/>
    </row>
    <row r="259" spans="3:12" x14ac:dyDescent="0.2">
      <c r="C259" s="204">
        <v>1</v>
      </c>
      <c r="D259" s="205"/>
      <c r="E259" s="204">
        <v>2</v>
      </c>
      <c r="F259" s="204">
        <v>34</v>
      </c>
      <c r="G259" s="204">
        <f t="shared" si="15"/>
        <v>40</v>
      </c>
      <c r="H259" s="204">
        <f t="shared" si="16"/>
        <v>4092.754010695191</v>
      </c>
      <c r="I259" s="204">
        <f t="shared" si="17"/>
        <v>11596.136363636375</v>
      </c>
      <c r="J259" s="204">
        <f t="shared" si="18"/>
        <v>139153.6363636365</v>
      </c>
      <c r="K259" s="204"/>
      <c r="L259" s="154"/>
    </row>
    <row r="260" spans="3:12" x14ac:dyDescent="0.2">
      <c r="C260" s="204">
        <v>1</v>
      </c>
      <c r="D260" s="205"/>
      <c r="E260" s="204">
        <v>3</v>
      </c>
      <c r="F260" s="204">
        <v>60</v>
      </c>
      <c r="G260" s="204">
        <f t="shared" si="15"/>
        <v>44</v>
      </c>
      <c r="H260" s="204">
        <f t="shared" si="16"/>
        <v>3259.4545454545487</v>
      </c>
      <c r="I260" s="204">
        <f t="shared" si="17"/>
        <v>16297.272727272742</v>
      </c>
      <c r="J260" s="204">
        <f t="shared" si="18"/>
        <v>195567.27272727291</v>
      </c>
      <c r="K260" s="204"/>
      <c r="L260" s="154"/>
    </row>
    <row r="261" spans="3:12" x14ac:dyDescent="0.2">
      <c r="C261" s="204">
        <v>1</v>
      </c>
      <c r="D261" s="205"/>
      <c r="E261" s="204">
        <v>3</v>
      </c>
      <c r="F261" s="204">
        <v>60</v>
      </c>
      <c r="G261" s="204">
        <f t="shared" si="15"/>
        <v>44</v>
      </c>
      <c r="H261" s="204">
        <f t="shared" si="16"/>
        <v>3259.4545454545487</v>
      </c>
      <c r="I261" s="204">
        <f t="shared" si="17"/>
        <v>16297.272727272742</v>
      </c>
      <c r="J261" s="204">
        <f t="shared" si="18"/>
        <v>195567.27272727291</v>
      </c>
      <c r="K261" s="204"/>
      <c r="L261" s="154"/>
    </row>
    <row r="262" spans="3:12" x14ac:dyDescent="0.2">
      <c r="C262" s="204">
        <v>1</v>
      </c>
      <c r="D262" s="205"/>
      <c r="E262" s="204">
        <v>2</v>
      </c>
      <c r="F262" s="204">
        <v>34</v>
      </c>
      <c r="G262" s="204">
        <f t="shared" si="15"/>
        <v>40</v>
      </c>
      <c r="H262" s="204">
        <f t="shared" si="16"/>
        <v>4092.754010695191</v>
      </c>
      <c r="I262" s="204">
        <f t="shared" si="17"/>
        <v>11596.136363636375</v>
      </c>
      <c r="J262" s="204">
        <f t="shared" si="18"/>
        <v>139153.6363636365</v>
      </c>
      <c r="K262" s="204"/>
      <c r="L262" s="154"/>
    </row>
    <row r="263" spans="3:12" x14ac:dyDescent="0.2">
      <c r="C263" s="204">
        <v>1</v>
      </c>
      <c r="D263" s="205"/>
      <c r="E263" s="204">
        <v>2</v>
      </c>
      <c r="F263" s="204">
        <v>34</v>
      </c>
      <c r="G263" s="204">
        <f t="shared" si="15"/>
        <v>40</v>
      </c>
      <c r="H263" s="204">
        <f t="shared" si="16"/>
        <v>4092.754010695191</v>
      </c>
      <c r="I263" s="204">
        <f t="shared" si="17"/>
        <v>11596.136363636375</v>
      </c>
      <c r="J263" s="204">
        <f t="shared" si="18"/>
        <v>139153.6363636365</v>
      </c>
      <c r="K263" s="204"/>
      <c r="L263" s="154"/>
    </row>
    <row r="264" spans="3:12" x14ac:dyDescent="0.2">
      <c r="C264" s="204">
        <v>1</v>
      </c>
      <c r="D264" s="205"/>
      <c r="E264" s="204">
        <v>3</v>
      </c>
      <c r="F264" s="204">
        <v>60</v>
      </c>
      <c r="G264" s="204">
        <f t="shared" si="15"/>
        <v>44</v>
      </c>
      <c r="H264" s="204">
        <f t="shared" si="16"/>
        <v>3259.4545454545487</v>
      </c>
      <c r="I264" s="204">
        <f t="shared" si="17"/>
        <v>16297.272727272742</v>
      </c>
      <c r="J264" s="204">
        <f t="shared" si="18"/>
        <v>195567.27272727291</v>
      </c>
      <c r="K264" s="204"/>
      <c r="L264" s="154"/>
    </row>
    <row r="265" spans="3:12" x14ac:dyDescent="0.2">
      <c r="C265" s="204">
        <v>1</v>
      </c>
      <c r="D265" s="205"/>
      <c r="E265" s="204">
        <v>3</v>
      </c>
      <c r="F265" s="204">
        <v>60</v>
      </c>
      <c r="G265" s="204">
        <f t="shared" si="15"/>
        <v>44</v>
      </c>
      <c r="H265" s="204">
        <f t="shared" si="16"/>
        <v>3259.4545454545487</v>
      </c>
      <c r="I265" s="204">
        <f t="shared" si="17"/>
        <v>16297.272727272742</v>
      </c>
      <c r="J265" s="204">
        <f t="shared" si="18"/>
        <v>195567.27272727291</v>
      </c>
      <c r="K265" s="204"/>
      <c r="L265" s="154"/>
    </row>
    <row r="266" spans="3:12" x14ac:dyDescent="0.2">
      <c r="C266" s="204">
        <v>1</v>
      </c>
      <c r="D266" s="205"/>
      <c r="E266" s="204">
        <v>2</v>
      </c>
      <c r="F266" s="204">
        <v>34</v>
      </c>
      <c r="G266" s="204">
        <f t="shared" si="15"/>
        <v>40</v>
      </c>
      <c r="H266" s="204">
        <f t="shared" si="16"/>
        <v>4092.754010695191</v>
      </c>
      <c r="I266" s="204">
        <f t="shared" si="17"/>
        <v>11596.136363636375</v>
      </c>
      <c r="J266" s="204">
        <f t="shared" si="18"/>
        <v>139153.6363636365</v>
      </c>
      <c r="K266" s="204"/>
      <c r="L266" s="154"/>
    </row>
    <row r="267" spans="3:12" x14ac:dyDescent="0.2">
      <c r="C267" s="204">
        <v>1</v>
      </c>
      <c r="D267" s="205"/>
      <c r="E267" s="204">
        <v>2</v>
      </c>
      <c r="F267" s="204">
        <v>63</v>
      </c>
      <c r="G267" s="204">
        <f t="shared" si="15"/>
        <v>40</v>
      </c>
      <c r="H267" s="204">
        <f t="shared" si="16"/>
        <v>3074.3939393939422</v>
      </c>
      <c r="I267" s="204">
        <f t="shared" si="17"/>
        <v>16140.568181818197</v>
      </c>
      <c r="J267" s="204">
        <f t="shared" si="18"/>
        <v>193686.81818181835</v>
      </c>
      <c r="K267" s="204"/>
      <c r="L267" s="154"/>
    </row>
    <row r="268" spans="3:12" x14ac:dyDescent="0.2">
      <c r="C268" s="204">
        <v>1</v>
      </c>
      <c r="D268" s="205"/>
      <c r="E268" s="204">
        <v>2</v>
      </c>
      <c r="F268" s="204">
        <v>34</v>
      </c>
      <c r="G268" s="204">
        <f t="shared" si="15"/>
        <v>40</v>
      </c>
      <c r="H268" s="204">
        <f t="shared" si="16"/>
        <v>4092.754010695191</v>
      </c>
      <c r="I268" s="204">
        <f t="shared" si="17"/>
        <v>11596.136363636375</v>
      </c>
      <c r="J268" s="204">
        <f t="shared" si="18"/>
        <v>139153.6363636365</v>
      </c>
      <c r="K268" s="204"/>
      <c r="L268" s="154"/>
    </row>
    <row r="269" spans="3:12" x14ac:dyDescent="0.2">
      <c r="C269" s="204">
        <v>1</v>
      </c>
      <c r="D269" s="205"/>
      <c r="E269" s="204">
        <v>2</v>
      </c>
      <c r="F269" s="204">
        <v>34</v>
      </c>
      <c r="G269" s="204">
        <f t="shared" si="15"/>
        <v>40</v>
      </c>
      <c r="H269" s="204">
        <f t="shared" si="16"/>
        <v>4092.754010695191</v>
      </c>
      <c r="I269" s="204">
        <f t="shared" si="17"/>
        <v>11596.136363636375</v>
      </c>
      <c r="J269" s="204">
        <f t="shared" si="18"/>
        <v>139153.6363636365</v>
      </c>
      <c r="K269" s="204"/>
      <c r="L269" s="154"/>
    </row>
    <row r="270" spans="3:12" x14ac:dyDescent="0.2">
      <c r="C270" s="204">
        <v>1</v>
      </c>
      <c r="D270" s="205"/>
      <c r="E270" s="204">
        <v>1</v>
      </c>
      <c r="F270" s="204">
        <v>34</v>
      </c>
      <c r="G270" s="204">
        <f t="shared" si="15"/>
        <v>34</v>
      </c>
      <c r="H270" s="204">
        <f t="shared" si="16"/>
        <v>3760.9090909090942</v>
      </c>
      <c r="I270" s="204">
        <f t="shared" si="17"/>
        <v>10655.909090909101</v>
      </c>
      <c r="J270" s="204">
        <f t="shared" si="18"/>
        <v>127870.9090909092</v>
      </c>
      <c r="K270" s="204"/>
      <c r="L270" s="154"/>
    </row>
    <row r="271" spans="3:12" x14ac:dyDescent="0.2">
      <c r="C271" s="204">
        <v>1</v>
      </c>
      <c r="D271" s="205"/>
      <c r="E271" s="204">
        <v>2</v>
      </c>
      <c r="F271" s="204">
        <v>54</v>
      </c>
      <c r="G271" s="204">
        <f t="shared" si="15"/>
        <v>40</v>
      </c>
      <c r="H271" s="204">
        <f t="shared" si="16"/>
        <v>3273.3838383838415</v>
      </c>
      <c r="I271" s="204">
        <f t="shared" si="17"/>
        <v>14730.227272727287</v>
      </c>
      <c r="J271" s="204">
        <f t="shared" si="18"/>
        <v>176762.72727272744</v>
      </c>
      <c r="K271" s="204"/>
      <c r="L271" s="154"/>
    </row>
    <row r="272" spans="3:12" x14ac:dyDescent="0.2">
      <c r="C272" s="204">
        <v>1</v>
      </c>
      <c r="D272" s="205"/>
      <c r="E272" s="204">
        <v>4</v>
      </c>
      <c r="F272" s="204">
        <v>94</v>
      </c>
      <c r="G272" s="204">
        <f t="shared" si="15"/>
        <v>49</v>
      </c>
      <c r="H272" s="204">
        <f t="shared" si="16"/>
        <v>2860.6914893617045</v>
      </c>
      <c r="I272" s="204">
        <f t="shared" si="17"/>
        <v>22408.750000000018</v>
      </c>
      <c r="J272" s="204">
        <f t="shared" si="18"/>
        <v>268905.00000000023</v>
      </c>
      <c r="K272" s="204"/>
      <c r="L272" s="154"/>
    </row>
    <row r="273" spans="3:12" x14ac:dyDescent="0.2">
      <c r="C273" s="204">
        <v>1</v>
      </c>
      <c r="D273" s="205"/>
      <c r="E273" s="204">
        <v>2</v>
      </c>
      <c r="F273" s="204">
        <v>34</v>
      </c>
      <c r="G273" s="204">
        <f t="shared" si="15"/>
        <v>40</v>
      </c>
      <c r="H273" s="204">
        <f t="shared" si="16"/>
        <v>4092.754010695191</v>
      </c>
      <c r="I273" s="204">
        <f t="shared" si="17"/>
        <v>11596.136363636375</v>
      </c>
      <c r="J273" s="204">
        <f t="shared" si="18"/>
        <v>139153.6363636365</v>
      </c>
      <c r="K273" s="204"/>
      <c r="L273" s="154"/>
    </row>
    <row r="274" spans="3:12" x14ac:dyDescent="0.2">
      <c r="C274" s="204">
        <v>1</v>
      </c>
      <c r="D274" s="205"/>
      <c r="E274" s="204">
        <v>2</v>
      </c>
      <c r="F274" s="204">
        <v>34</v>
      </c>
      <c r="G274" s="204">
        <f t="shared" si="15"/>
        <v>40</v>
      </c>
      <c r="H274" s="204">
        <f t="shared" si="16"/>
        <v>4092.754010695191</v>
      </c>
      <c r="I274" s="204">
        <f t="shared" si="17"/>
        <v>11596.136363636375</v>
      </c>
      <c r="J274" s="204">
        <f t="shared" si="18"/>
        <v>139153.6363636365</v>
      </c>
      <c r="K274" s="204"/>
      <c r="L274" s="154"/>
    </row>
    <row r="275" spans="3:12" x14ac:dyDescent="0.2">
      <c r="C275" s="204">
        <v>1</v>
      </c>
      <c r="D275" s="205"/>
      <c r="E275" s="204">
        <v>2</v>
      </c>
      <c r="F275" s="204">
        <v>54</v>
      </c>
      <c r="G275" s="204">
        <f t="shared" si="15"/>
        <v>40</v>
      </c>
      <c r="H275" s="204">
        <f t="shared" si="16"/>
        <v>3273.3838383838415</v>
      </c>
      <c r="I275" s="204">
        <f t="shared" si="17"/>
        <v>14730.227272727287</v>
      </c>
      <c r="J275" s="204">
        <f t="shared" si="18"/>
        <v>176762.72727272744</v>
      </c>
      <c r="K275" s="204"/>
      <c r="L275" s="154"/>
    </row>
    <row r="276" spans="3:12" x14ac:dyDescent="0.2">
      <c r="C276" s="204">
        <v>1</v>
      </c>
      <c r="D276" s="205"/>
      <c r="E276" s="204">
        <v>2</v>
      </c>
      <c r="F276" s="204">
        <v>54</v>
      </c>
      <c r="G276" s="204">
        <f t="shared" si="15"/>
        <v>40</v>
      </c>
      <c r="H276" s="204">
        <f t="shared" si="16"/>
        <v>3273.3838383838415</v>
      </c>
      <c r="I276" s="204">
        <f t="shared" si="17"/>
        <v>14730.227272727287</v>
      </c>
      <c r="J276" s="204">
        <f t="shared" si="18"/>
        <v>176762.72727272744</v>
      </c>
      <c r="K276" s="204"/>
      <c r="L276" s="154"/>
    </row>
    <row r="277" spans="3:12" x14ac:dyDescent="0.2">
      <c r="C277" s="204">
        <v>1</v>
      </c>
      <c r="D277" s="205"/>
      <c r="E277" s="204">
        <v>4</v>
      </c>
      <c r="F277" s="204">
        <v>94</v>
      </c>
      <c r="G277" s="204">
        <f t="shared" si="15"/>
        <v>49</v>
      </c>
      <c r="H277" s="204">
        <f t="shared" si="16"/>
        <v>2860.6914893617045</v>
      </c>
      <c r="I277" s="204">
        <f t="shared" si="17"/>
        <v>22408.750000000018</v>
      </c>
      <c r="J277" s="204">
        <f t="shared" si="18"/>
        <v>268905.00000000023</v>
      </c>
      <c r="K277" s="204"/>
      <c r="L277" s="154"/>
    </row>
    <row r="278" spans="3:12" x14ac:dyDescent="0.2">
      <c r="C278" s="204">
        <v>1</v>
      </c>
      <c r="D278" s="205"/>
      <c r="E278" s="204">
        <v>2</v>
      </c>
      <c r="F278" s="204">
        <v>34</v>
      </c>
      <c r="G278" s="204">
        <f t="shared" si="15"/>
        <v>40</v>
      </c>
      <c r="H278" s="204">
        <f t="shared" si="16"/>
        <v>4092.754010695191</v>
      </c>
      <c r="I278" s="204">
        <f t="shared" si="17"/>
        <v>11596.136363636375</v>
      </c>
      <c r="J278" s="204">
        <f t="shared" si="18"/>
        <v>139153.6363636365</v>
      </c>
      <c r="K278" s="204"/>
      <c r="L278" s="154"/>
    </row>
    <row r="279" spans="3:12" x14ac:dyDescent="0.2">
      <c r="C279" s="204">
        <v>1</v>
      </c>
      <c r="D279" s="205"/>
      <c r="E279" s="204">
        <v>2</v>
      </c>
      <c r="F279" s="204">
        <v>34</v>
      </c>
      <c r="G279" s="204">
        <f t="shared" si="15"/>
        <v>40</v>
      </c>
      <c r="H279" s="204">
        <f t="shared" si="16"/>
        <v>4092.754010695191</v>
      </c>
      <c r="I279" s="204">
        <f t="shared" si="17"/>
        <v>11596.136363636375</v>
      </c>
      <c r="J279" s="204">
        <f t="shared" si="18"/>
        <v>139153.6363636365</v>
      </c>
      <c r="K279" s="204"/>
      <c r="L279" s="154"/>
    </row>
    <row r="280" spans="3:12" x14ac:dyDescent="0.2">
      <c r="C280" s="204">
        <v>1</v>
      </c>
      <c r="D280" s="205"/>
      <c r="E280" s="204">
        <v>2</v>
      </c>
      <c r="F280" s="204">
        <v>54</v>
      </c>
      <c r="G280" s="204">
        <f t="shared" si="15"/>
        <v>40</v>
      </c>
      <c r="H280" s="204">
        <f t="shared" si="16"/>
        <v>3273.3838383838415</v>
      </c>
      <c r="I280" s="204">
        <f t="shared" si="17"/>
        <v>14730.227272727287</v>
      </c>
      <c r="J280" s="204">
        <f t="shared" si="18"/>
        <v>176762.72727272744</v>
      </c>
      <c r="K280" s="204"/>
      <c r="L280" s="154"/>
    </row>
    <row r="281" spans="3:12" x14ac:dyDescent="0.2">
      <c r="C281" s="204">
        <v>1</v>
      </c>
      <c r="D281" s="205"/>
      <c r="E281" s="204">
        <v>2</v>
      </c>
      <c r="F281" s="204">
        <v>54</v>
      </c>
      <c r="G281" s="204">
        <f t="shared" si="15"/>
        <v>40</v>
      </c>
      <c r="H281" s="204">
        <f t="shared" si="16"/>
        <v>3273.3838383838415</v>
      </c>
      <c r="I281" s="204">
        <f t="shared" si="17"/>
        <v>14730.227272727287</v>
      </c>
      <c r="J281" s="204">
        <f t="shared" si="18"/>
        <v>176762.72727272744</v>
      </c>
      <c r="K281" s="204"/>
      <c r="L281" s="154"/>
    </row>
    <row r="282" spans="3:12" x14ac:dyDescent="0.2">
      <c r="C282" s="204">
        <v>1</v>
      </c>
      <c r="D282" s="205"/>
      <c r="E282" s="204">
        <v>4</v>
      </c>
      <c r="F282" s="204">
        <v>94</v>
      </c>
      <c r="G282" s="204">
        <f t="shared" ref="G282:G345" si="19">IF(E282=1,34,IF(E282=2,40,IF(E282=3,44,IF(E282=4,49,IF(E282=5,52,IF(E282=6,55,IF(E282=1.5,27,IF(E282=2.5,34))))))))</f>
        <v>49</v>
      </c>
      <c r="H282" s="204">
        <f t="shared" ref="H282:H345" si="20">+$H$3*(F282+G282)/(1.57142857142857)/F282</f>
        <v>2860.6914893617045</v>
      </c>
      <c r="I282" s="204">
        <f t="shared" si="17"/>
        <v>22408.750000000018</v>
      </c>
      <c r="J282" s="204">
        <f t="shared" si="18"/>
        <v>268905.00000000023</v>
      </c>
      <c r="K282" s="204"/>
      <c r="L282" s="154"/>
    </row>
    <row r="283" spans="3:12" x14ac:dyDescent="0.2">
      <c r="C283" s="204">
        <v>1</v>
      </c>
      <c r="D283" s="205"/>
      <c r="E283" s="204">
        <v>2</v>
      </c>
      <c r="F283" s="204">
        <v>34</v>
      </c>
      <c r="G283" s="204">
        <f t="shared" si="19"/>
        <v>40</v>
      </c>
      <c r="H283" s="204">
        <f t="shared" si="20"/>
        <v>4092.754010695191</v>
      </c>
      <c r="I283" s="204">
        <f t="shared" ref="I283:I346" si="21">+F283*H283/12</f>
        <v>11596.136363636375</v>
      </c>
      <c r="J283" s="204">
        <f t="shared" ref="J283:J346" si="22">+I283*12</f>
        <v>139153.6363636365</v>
      </c>
      <c r="K283" s="204"/>
      <c r="L283" s="154"/>
    </row>
    <row r="284" spans="3:12" x14ac:dyDescent="0.2">
      <c r="C284" s="204">
        <v>1</v>
      </c>
      <c r="D284" s="205"/>
      <c r="E284" s="204">
        <v>2</v>
      </c>
      <c r="F284" s="204">
        <v>34</v>
      </c>
      <c r="G284" s="204">
        <f t="shared" si="19"/>
        <v>40</v>
      </c>
      <c r="H284" s="204">
        <f t="shared" si="20"/>
        <v>4092.754010695191</v>
      </c>
      <c r="I284" s="204">
        <f t="shared" si="21"/>
        <v>11596.136363636375</v>
      </c>
      <c r="J284" s="204">
        <f t="shared" si="22"/>
        <v>139153.6363636365</v>
      </c>
      <c r="K284" s="204"/>
      <c r="L284" s="154"/>
    </row>
    <row r="285" spans="3:12" x14ac:dyDescent="0.2">
      <c r="C285" s="204">
        <v>1</v>
      </c>
      <c r="D285" s="205"/>
      <c r="E285" s="204">
        <v>2</v>
      </c>
      <c r="F285" s="204">
        <v>54</v>
      </c>
      <c r="G285" s="204">
        <f t="shared" si="19"/>
        <v>40</v>
      </c>
      <c r="H285" s="204">
        <f t="shared" si="20"/>
        <v>3273.3838383838415</v>
      </c>
      <c r="I285" s="204">
        <f t="shared" si="21"/>
        <v>14730.227272727287</v>
      </c>
      <c r="J285" s="204">
        <f t="shared" si="22"/>
        <v>176762.72727272744</v>
      </c>
      <c r="K285" s="204"/>
      <c r="L285" s="154"/>
    </row>
    <row r="286" spans="3:12" x14ac:dyDescent="0.2">
      <c r="C286" s="204">
        <v>1</v>
      </c>
      <c r="D286" s="205"/>
      <c r="E286" s="204">
        <v>2</v>
      </c>
      <c r="F286" s="204">
        <v>54</v>
      </c>
      <c r="G286" s="204">
        <f t="shared" si="19"/>
        <v>40</v>
      </c>
      <c r="H286" s="204">
        <f t="shared" si="20"/>
        <v>3273.3838383838415</v>
      </c>
      <c r="I286" s="204">
        <f t="shared" si="21"/>
        <v>14730.227272727287</v>
      </c>
      <c r="J286" s="204">
        <f t="shared" si="22"/>
        <v>176762.72727272744</v>
      </c>
      <c r="K286" s="204"/>
      <c r="L286" s="154"/>
    </row>
    <row r="287" spans="3:12" x14ac:dyDescent="0.2">
      <c r="C287" s="204">
        <v>1</v>
      </c>
      <c r="D287" s="205"/>
      <c r="E287" s="204">
        <v>4</v>
      </c>
      <c r="F287" s="204">
        <v>94</v>
      </c>
      <c r="G287" s="204">
        <f t="shared" si="19"/>
        <v>49</v>
      </c>
      <c r="H287" s="204">
        <f t="shared" si="20"/>
        <v>2860.6914893617045</v>
      </c>
      <c r="I287" s="204">
        <f t="shared" si="21"/>
        <v>22408.750000000018</v>
      </c>
      <c r="J287" s="204">
        <f t="shared" si="22"/>
        <v>268905.00000000023</v>
      </c>
      <c r="K287" s="204"/>
      <c r="L287" s="154"/>
    </row>
    <row r="288" spans="3:12" x14ac:dyDescent="0.2">
      <c r="C288" s="204">
        <v>1</v>
      </c>
      <c r="D288" s="205"/>
      <c r="E288" s="204">
        <v>2</v>
      </c>
      <c r="F288" s="204">
        <v>34</v>
      </c>
      <c r="G288" s="204">
        <f t="shared" si="19"/>
        <v>40</v>
      </c>
      <c r="H288" s="204">
        <f t="shared" si="20"/>
        <v>4092.754010695191</v>
      </c>
      <c r="I288" s="204">
        <f t="shared" si="21"/>
        <v>11596.136363636375</v>
      </c>
      <c r="J288" s="204">
        <f t="shared" si="22"/>
        <v>139153.6363636365</v>
      </c>
      <c r="K288" s="204"/>
      <c r="L288" s="154"/>
    </row>
    <row r="289" spans="3:12" x14ac:dyDescent="0.2">
      <c r="C289" s="204">
        <v>1</v>
      </c>
      <c r="D289" s="205"/>
      <c r="E289" s="204">
        <v>2</v>
      </c>
      <c r="F289" s="204">
        <v>34</v>
      </c>
      <c r="G289" s="204">
        <f t="shared" si="19"/>
        <v>40</v>
      </c>
      <c r="H289" s="204">
        <f t="shared" si="20"/>
        <v>4092.754010695191</v>
      </c>
      <c r="I289" s="204">
        <f t="shared" si="21"/>
        <v>11596.136363636375</v>
      </c>
      <c r="J289" s="204">
        <f t="shared" si="22"/>
        <v>139153.6363636365</v>
      </c>
      <c r="K289" s="204"/>
      <c r="L289" s="154"/>
    </row>
    <row r="290" spans="3:12" x14ac:dyDescent="0.2">
      <c r="C290" s="204">
        <v>1</v>
      </c>
      <c r="D290" s="205"/>
      <c r="E290" s="204">
        <v>2</v>
      </c>
      <c r="F290" s="204">
        <v>54</v>
      </c>
      <c r="G290" s="204">
        <f t="shared" si="19"/>
        <v>40</v>
      </c>
      <c r="H290" s="204">
        <f t="shared" si="20"/>
        <v>3273.3838383838415</v>
      </c>
      <c r="I290" s="204">
        <f t="shared" si="21"/>
        <v>14730.227272727287</v>
      </c>
      <c r="J290" s="204">
        <f t="shared" si="22"/>
        <v>176762.72727272744</v>
      </c>
      <c r="K290" s="204"/>
      <c r="L290" s="154"/>
    </row>
    <row r="291" spans="3:12" x14ac:dyDescent="0.2">
      <c r="C291" s="204">
        <v>1</v>
      </c>
      <c r="D291" s="205"/>
      <c r="E291" s="204">
        <v>2</v>
      </c>
      <c r="F291" s="204">
        <v>54</v>
      </c>
      <c r="G291" s="204">
        <f t="shared" si="19"/>
        <v>40</v>
      </c>
      <c r="H291" s="204">
        <f t="shared" si="20"/>
        <v>3273.3838383838415</v>
      </c>
      <c r="I291" s="204">
        <f t="shared" si="21"/>
        <v>14730.227272727287</v>
      </c>
      <c r="J291" s="204">
        <f t="shared" si="22"/>
        <v>176762.72727272744</v>
      </c>
      <c r="K291" s="204"/>
      <c r="L291" s="154"/>
    </row>
    <row r="292" spans="3:12" x14ac:dyDescent="0.2">
      <c r="C292" s="204">
        <v>1</v>
      </c>
      <c r="D292" s="205"/>
      <c r="E292" s="204">
        <v>4</v>
      </c>
      <c r="F292" s="204">
        <v>94</v>
      </c>
      <c r="G292" s="204">
        <f t="shared" si="19"/>
        <v>49</v>
      </c>
      <c r="H292" s="204">
        <f t="shared" si="20"/>
        <v>2860.6914893617045</v>
      </c>
      <c r="I292" s="204">
        <f t="shared" si="21"/>
        <v>22408.750000000018</v>
      </c>
      <c r="J292" s="204">
        <f t="shared" si="22"/>
        <v>268905.00000000023</v>
      </c>
      <c r="K292" s="204"/>
      <c r="L292" s="154"/>
    </row>
    <row r="293" spans="3:12" x14ac:dyDescent="0.2">
      <c r="C293" s="204">
        <v>1</v>
      </c>
      <c r="D293" s="205"/>
      <c r="E293" s="204">
        <v>2</v>
      </c>
      <c r="F293" s="204">
        <v>34</v>
      </c>
      <c r="G293" s="204">
        <f t="shared" si="19"/>
        <v>40</v>
      </c>
      <c r="H293" s="204">
        <f t="shared" si="20"/>
        <v>4092.754010695191</v>
      </c>
      <c r="I293" s="204">
        <f t="shared" si="21"/>
        <v>11596.136363636375</v>
      </c>
      <c r="J293" s="204">
        <f t="shared" si="22"/>
        <v>139153.6363636365</v>
      </c>
      <c r="K293" s="204"/>
      <c r="L293" s="154"/>
    </row>
    <row r="294" spans="3:12" x14ac:dyDescent="0.2">
      <c r="C294" s="204">
        <v>1</v>
      </c>
      <c r="D294" s="205"/>
      <c r="E294" s="204">
        <v>2</v>
      </c>
      <c r="F294" s="204">
        <v>34</v>
      </c>
      <c r="G294" s="204">
        <f t="shared" si="19"/>
        <v>40</v>
      </c>
      <c r="H294" s="204">
        <f t="shared" si="20"/>
        <v>4092.754010695191</v>
      </c>
      <c r="I294" s="204">
        <f t="shared" si="21"/>
        <v>11596.136363636375</v>
      </c>
      <c r="J294" s="204">
        <f t="shared" si="22"/>
        <v>139153.6363636365</v>
      </c>
      <c r="K294" s="204"/>
      <c r="L294" s="154"/>
    </row>
    <row r="295" spans="3:12" x14ac:dyDescent="0.2">
      <c r="C295" s="204">
        <v>1</v>
      </c>
      <c r="D295" s="205"/>
      <c r="E295" s="204">
        <v>2</v>
      </c>
      <c r="F295" s="204">
        <v>54</v>
      </c>
      <c r="G295" s="204">
        <f t="shared" si="19"/>
        <v>40</v>
      </c>
      <c r="H295" s="204">
        <f t="shared" si="20"/>
        <v>3273.3838383838415</v>
      </c>
      <c r="I295" s="204">
        <f t="shared" si="21"/>
        <v>14730.227272727287</v>
      </c>
      <c r="J295" s="204">
        <f t="shared" si="22"/>
        <v>176762.72727272744</v>
      </c>
      <c r="K295" s="204"/>
      <c r="L295" s="154"/>
    </row>
    <row r="296" spans="3:12" x14ac:dyDescent="0.2">
      <c r="C296" s="204">
        <v>1</v>
      </c>
      <c r="D296" s="205"/>
      <c r="E296" s="204">
        <v>2</v>
      </c>
      <c r="F296" s="204">
        <v>54</v>
      </c>
      <c r="G296" s="204">
        <f t="shared" si="19"/>
        <v>40</v>
      </c>
      <c r="H296" s="204">
        <f t="shared" si="20"/>
        <v>3273.3838383838415</v>
      </c>
      <c r="I296" s="204">
        <f t="shared" si="21"/>
        <v>14730.227272727287</v>
      </c>
      <c r="J296" s="204">
        <f t="shared" si="22"/>
        <v>176762.72727272744</v>
      </c>
      <c r="K296" s="204"/>
      <c r="L296" s="154"/>
    </row>
    <row r="297" spans="3:12" x14ac:dyDescent="0.2">
      <c r="C297" s="204">
        <v>1</v>
      </c>
      <c r="D297" s="205"/>
      <c r="E297" s="204">
        <v>4</v>
      </c>
      <c r="F297" s="204">
        <v>89</v>
      </c>
      <c r="G297" s="204">
        <f t="shared" si="19"/>
        <v>49</v>
      </c>
      <c r="H297" s="204">
        <f t="shared" si="20"/>
        <v>2915.760980592444</v>
      </c>
      <c r="I297" s="204">
        <f t="shared" si="21"/>
        <v>21625.227272727294</v>
      </c>
      <c r="J297" s="204">
        <f t="shared" si="22"/>
        <v>259502.72727272753</v>
      </c>
      <c r="K297" s="204"/>
      <c r="L297" s="154"/>
    </row>
    <row r="298" spans="3:12" x14ac:dyDescent="0.2">
      <c r="C298" s="204">
        <v>1</v>
      </c>
      <c r="D298" s="205"/>
      <c r="E298" s="204">
        <v>2</v>
      </c>
      <c r="F298" s="204">
        <v>34</v>
      </c>
      <c r="G298" s="204">
        <f t="shared" si="19"/>
        <v>40</v>
      </c>
      <c r="H298" s="204">
        <f t="shared" si="20"/>
        <v>4092.754010695191</v>
      </c>
      <c r="I298" s="204">
        <f t="shared" si="21"/>
        <v>11596.136363636375</v>
      </c>
      <c r="J298" s="204">
        <f t="shared" si="22"/>
        <v>139153.6363636365</v>
      </c>
      <c r="K298" s="204"/>
      <c r="L298" s="154"/>
    </row>
    <row r="299" spans="3:12" x14ac:dyDescent="0.2">
      <c r="C299" s="204">
        <v>1</v>
      </c>
      <c r="D299" s="205"/>
      <c r="E299" s="204">
        <v>2</v>
      </c>
      <c r="F299" s="204">
        <v>34</v>
      </c>
      <c r="G299" s="204">
        <f t="shared" si="19"/>
        <v>40</v>
      </c>
      <c r="H299" s="204">
        <f t="shared" si="20"/>
        <v>4092.754010695191</v>
      </c>
      <c r="I299" s="204">
        <f t="shared" si="21"/>
        <v>11596.136363636375</v>
      </c>
      <c r="J299" s="204">
        <f t="shared" si="22"/>
        <v>139153.6363636365</v>
      </c>
      <c r="K299" s="204"/>
      <c r="L299" s="154"/>
    </row>
    <row r="300" spans="3:12" x14ac:dyDescent="0.2">
      <c r="C300" s="204">
        <v>1</v>
      </c>
      <c r="D300" s="205"/>
      <c r="E300" s="204">
        <v>2</v>
      </c>
      <c r="F300" s="204">
        <v>54</v>
      </c>
      <c r="G300" s="204">
        <f t="shared" si="19"/>
        <v>40</v>
      </c>
      <c r="H300" s="204">
        <f t="shared" si="20"/>
        <v>3273.3838383838415</v>
      </c>
      <c r="I300" s="204">
        <f t="shared" si="21"/>
        <v>14730.227272727287</v>
      </c>
      <c r="J300" s="204">
        <f t="shared" si="22"/>
        <v>176762.72727272744</v>
      </c>
      <c r="K300" s="204"/>
      <c r="L300" s="154"/>
    </row>
    <row r="301" spans="3:12" x14ac:dyDescent="0.2">
      <c r="C301" s="204">
        <v>1</v>
      </c>
      <c r="D301" s="205"/>
      <c r="E301" s="204">
        <v>2</v>
      </c>
      <c r="F301" s="204">
        <v>54</v>
      </c>
      <c r="G301" s="204">
        <f t="shared" si="19"/>
        <v>40</v>
      </c>
      <c r="H301" s="204">
        <f t="shared" si="20"/>
        <v>3273.3838383838415</v>
      </c>
      <c r="I301" s="204">
        <f t="shared" si="21"/>
        <v>14730.227272727287</v>
      </c>
      <c r="J301" s="204">
        <f t="shared" si="22"/>
        <v>176762.72727272744</v>
      </c>
      <c r="K301" s="204"/>
      <c r="L301" s="154"/>
    </row>
    <row r="302" spans="3:12" x14ac:dyDescent="0.2">
      <c r="C302" s="204">
        <v>1</v>
      </c>
      <c r="D302" s="205"/>
      <c r="E302" s="204">
        <v>4</v>
      </c>
      <c r="F302" s="204">
        <v>89</v>
      </c>
      <c r="G302" s="204">
        <f t="shared" si="19"/>
        <v>49</v>
      </c>
      <c r="H302" s="204">
        <f t="shared" si="20"/>
        <v>2915.760980592444</v>
      </c>
      <c r="I302" s="204">
        <f t="shared" si="21"/>
        <v>21625.227272727294</v>
      </c>
      <c r="J302" s="204">
        <f t="shared" si="22"/>
        <v>259502.72727272753</v>
      </c>
      <c r="K302" s="204"/>
      <c r="L302" s="154"/>
    </row>
    <row r="303" spans="3:12" x14ac:dyDescent="0.2">
      <c r="C303" s="204">
        <v>1</v>
      </c>
      <c r="D303" s="205"/>
      <c r="E303" s="204">
        <v>2</v>
      </c>
      <c r="F303" s="204">
        <v>34</v>
      </c>
      <c r="G303" s="204">
        <f t="shared" si="19"/>
        <v>40</v>
      </c>
      <c r="H303" s="204">
        <f t="shared" si="20"/>
        <v>4092.754010695191</v>
      </c>
      <c r="I303" s="204">
        <f t="shared" si="21"/>
        <v>11596.136363636375</v>
      </c>
      <c r="J303" s="204">
        <f t="shared" si="22"/>
        <v>139153.6363636365</v>
      </c>
      <c r="K303" s="204"/>
      <c r="L303" s="154"/>
    </row>
    <row r="304" spans="3:12" x14ac:dyDescent="0.2">
      <c r="C304" s="204">
        <v>1</v>
      </c>
      <c r="D304" s="205"/>
      <c r="E304" s="204">
        <v>2</v>
      </c>
      <c r="F304" s="204">
        <v>34</v>
      </c>
      <c r="G304" s="204">
        <f t="shared" si="19"/>
        <v>40</v>
      </c>
      <c r="H304" s="204">
        <f t="shared" si="20"/>
        <v>4092.754010695191</v>
      </c>
      <c r="I304" s="204">
        <f t="shared" si="21"/>
        <v>11596.136363636375</v>
      </c>
      <c r="J304" s="204">
        <f t="shared" si="22"/>
        <v>139153.6363636365</v>
      </c>
      <c r="K304" s="204"/>
      <c r="L304" s="154"/>
    </row>
    <row r="305" spans="3:12" x14ac:dyDescent="0.2">
      <c r="C305" s="204">
        <v>1</v>
      </c>
      <c r="D305" s="205"/>
      <c r="E305" s="204">
        <v>2</v>
      </c>
      <c r="F305" s="204">
        <v>54</v>
      </c>
      <c r="G305" s="204">
        <f t="shared" si="19"/>
        <v>40</v>
      </c>
      <c r="H305" s="204">
        <f t="shared" si="20"/>
        <v>3273.3838383838415</v>
      </c>
      <c r="I305" s="204">
        <f t="shared" si="21"/>
        <v>14730.227272727287</v>
      </c>
      <c r="J305" s="204">
        <f t="shared" si="22"/>
        <v>176762.72727272744</v>
      </c>
      <c r="K305" s="204"/>
      <c r="L305" s="154"/>
    </row>
    <row r="306" spans="3:12" x14ac:dyDescent="0.2">
      <c r="C306" s="204">
        <v>1</v>
      </c>
      <c r="D306" s="205"/>
      <c r="E306" s="204">
        <v>2</v>
      </c>
      <c r="F306" s="204">
        <v>54</v>
      </c>
      <c r="G306" s="204">
        <f t="shared" si="19"/>
        <v>40</v>
      </c>
      <c r="H306" s="204">
        <f t="shared" si="20"/>
        <v>3273.3838383838415</v>
      </c>
      <c r="I306" s="204">
        <f t="shared" si="21"/>
        <v>14730.227272727287</v>
      </c>
      <c r="J306" s="204">
        <f t="shared" si="22"/>
        <v>176762.72727272744</v>
      </c>
      <c r="K306" s="204"/>
      <c r="L306" s="154"/>
    </row>
    <row r="307" spans="3:12" x14ac:dyDescent="0.2">
      <c r="C307" s="204">
        <v>1</v>
      </c>
      <c r="D307" s="205"/>
      <c r="E307" s="204">
        <v>4</v>
      </c>
      <c r="F307" s="204">
        <v>79</v>
      </c>
      <c r="G307" s="204">
        <f t="shared" si="19"/>
        <v>49</v>
      </c>
      <c r="H307" s="204">
        <f t="shared" si="20"/>
        <v>3046.8124280782536</v>
      </c>
      <c r="I307" s="204">
        <f t="shared" si="21"/>
        <v>20058.181818181834</v>
      </c>
      <c r="J307" s="204">
        <f t="shared" si="22"/>
        <v>240698.181818182</v>
      </c>
      <c r="K307" s="204"/>
      <c r="L307" s="154"/>
    </row>
    <row r="308" spans="3:12" x14ac:dyDescent="0.2">
      <c r="C308" s="204">
        <v>1</v>
      </c>
      <c r="D308" s="205"/>
      <c r="E308" s="204">
        <v>2</v>
      </c>
      <c r="F308" s="204">
        <v>55</v>
      </c>
      <c r="G308" s="204">
        <f t="shared" si="19"/>
        <v>40</v>
      </c>
      <c r="H308" s="204">
        <f t="shared" si="20"/>
        <v>3248.0578512396723</v>
      </c>
      <c r="I308" s="204">
        <f t="shared" si="21"/>
        <v>14886.931818181831</v>
      </c>
      <c r="J308" s="204">
        <f t="shared" si="22"/>
        <v>178643.18181818197</v>
      </c>
      <c r="K308" s="204"/>
      <c r="L308" s="154"/>
    </row>
    <row r="309" spans="3:12" x14ac:dyDescent="0.2">
      <c r="C309" s="204">
        <v>1</v>
      </c>
      <c r="D309" s="205"/>
      <c r="E309" s="204">
        <v>1</v>
      </c>
      <c r="F309" s="204">
        <v>30</v>
      </c>
      <c r="G309" s="204">
        <f t="shared" si="19"/>
        <v>34</v>
      </c>
      <c r="H309" s="204">
        <f t="shared" si="20"/>
        <v>4011.6363636363672</v>
      </c>
      <c r="I309" s="204">
        <f t="shared" si="21"/>
        <v>10029.090909090917</v>
      </c>
      <c r="J309" s="204">
        <f t="shared" si="22"/>
        <v>120349.090909091</v>
      </c>
      <c r="K309" s="204"/>
      <c r="L309" s="154"/>
    </row>
    <row r="310" spans="3:12" x14ac:dyDescent="0.2">
      <c r="C310" s="204">
        <v>1</v>
      </c>
      <c r="D310" s="205"/>
      <c r="E310" s="204">
        <v>4</v>
      </c>
      <c r="F310" s="204">
        <v>83</v>
      </c>
      <c r="G310" s="204">
        <f t="shared" si="19"/>
        <v>49</v>
      </c>
      <c r="H310" s="204">
        <f t="shared" si="20"/>
        <v>2990.6024096385568</v>
      </c>
      <c r="I310" s="204">
        <f t="shared" si="21"/>
        <v>20685.000000000018</v>
      </c>
      <c r="J310" s="204">
        <f t="shared" si="22"/>
        <v>248220.00000000023</v>
      </c>
      <c r="K310" s="204"/>
      <c r="L310" s="154"/>
    </row>
    <row r="311" spans="3:12" x14ac:dyDescent="0.2">
      <c r="C311" s="204">
        <v>1</v>
      </c>
      <c r="D311" s="205"/>
      <c r="E311" s="204">
        <v>3</v>
      </c>
      <c r="F311" s="204">
        <v>62</v>
      </c>
      <c r="G311" s="204">
        <f t="shared" si="19"/>
        <v>44</v>
      </c>
      <c r="H311" s="204">
        <f t="shared" si="20"/>
        <v>3214.9706744868063</v>
      </c>
      <c r="I311" s="204">
        <f t="shared" si="21"/>
        <v>16610.681818181834</v>
      </c>
      <c r="J311" s="204">
        <f t="shared" si="22"/>
        <v>199328.181818182</v>
      </c>
      <c r="K311" s="204"/>
      <c r="L311" s="154"/>
    </row>
    <row r="312" spans="3:12" x14ac:dyDescent="0.2">
      <c r="C312" s="204">
        <v>1</v>
      </c>
      <c r="D312" s="205"/>
      <c r="E312" s="204">
        <v>2</v>
      </c>
      <c r="F312" s="204">
        <v>34</v>
      </c>
      <c r="G312" s="204">
        <f t="shared" si="19"/>
        <v>40</v>
      </c>
      <c r="H312" s="204">
        <f t="shared" si="20"/>
        <v>4092.754010695191</v>
      </c>
      <c r="I312" s="204">
        <f t="shared" si="21"/>
        <v>11596.136363636375</v>
      </c>
      <c r="J312" s="204">
        <f t="shared" si="22"/>
        <v>139153.6363636365</v>
      </c>
      <c r="K312" s="204"/>
      <c r="L312" s="154"/>
    </row>
    <row r="313" spans="3:12" x14ac:dyDescent="0.2">
      <c r="C313" s="204">
        <v>1</v>
      </c>
      <c r="D313" s="205"/>
      <c r="E313" s="204">
        <v>4</v>
      </c>
      <c r="F313" s="204">
        <v>83</v>
      </c>
      <c r="G313" s="204">
        <f t="shared" si="19"/>
        <v>49</v>
      </c>
      <c r="H313" s="204">
        <f t="shared" si="20"/>
        <v>2990.6024096385568</v>
      </c>
      <c r="I313" s="204">
        <f t="shared" si="21"/>
        <v>20685.000000000018</v>
      </c>
      <c r="J313" s="204">
        <f t="shared" si="22"/>
        <v>248220.00000000023</v>
      </c>
      <c r="K313" s="204"/>
      <c r="L313" s="154"/>
    </row>
    <row r="314" spans="3:12" x14ac:dyDescent="0.2">
      <c r="C314" s="204">
        <v>1</v>
      </c>
      <c r="D314" s="205"/>
      <c r="E314" s="204">
        <v>3</v>
      </c>
      <c r="F314" s="204">
        <v>62</v>
      </c>
      <c r="G314" s="204">
        <f t="shared" si="19"/>
        <v>44</v>
      </c>
      <c r="H314" s="204">
        <f t="shared" si="20"/>
        <v>3214.9706744868063</v>
      </c>
      <c r="I314" s="204">
        <f t="shared" si="21"/>
        <v>16610.681818181834</v>
      </c>
      <c r="J314" s="204">
        <f t="shared" si="22"/>
        <v>199328.181818182</v>
      </c>
      <c r="K314" s="204"/>
      <c r="L314" s="154"/>
    </row>
    <row r="315" spans="3:12" x14ac:dyDescent="0.2">
      <c r="C315" s="204">
        <v>1</v>
      </c>
      <c r="D315" s="205"/>
      <c r="E315" s="204">
        <v>2</v>
      </c>
      <c r="F315" s="204">
        <v>34</v>
      </c>
      <c r="G315" s="204">
        <f t="shared" si="19"/>
        <v>40</v>
      </c>
      <c r="H315" s="204">
        <f t="shared" si="20"/>
        <v>4092.754010695191</v>
      </c>
      <c r="I315" s="204">
        <f t="shared" si="21"/>
        <v>11596.136363636375</v>
      </c>
      <c r="J315" s="204">
        <f t="shared" si="22"/>
        <v>139153.6363636365</v>
      </c>
      <c r="K315" s="204"/>
      <c r="L315" s="154"/>
    </row>
    <row r="316" spans="3:12" x14ac:dyDescent="0.2">
      <c r="C316" s="204">
        <v>1</v>
      </c>
      <c r="D316" s="205"/>
      <c r="E316" s="204">
        <v>4</v>
      </c>
      <c r="F316" s="204">
        <v>83</v>
      </c>
      <c r="G316" s="204">
        <f t="shared" si="19"/>
        <v>49</v>
      </c>
      <c r="H316" s="204">
        <f t="shared" si="20"/>
        <v>2990.6024096385568</v>
      </c>
      <c r="I316" s="204">
        <f t="shared" si="21"/>
        <v>20685.000000000018</v>
      </c>
      <c r="J316" s="204">
        <f t="shared" si="22"/>
        <v>248220.00000000023</v>
      </c>
      <c r="K316" s="204"/>
      <c r="L316" s="154"/>
    </row>
    <row r="317" spans="3:12" x14ac:dyDescent="0.2">
      <c r="C317" s="204">
        <v>1</v>
      </c>
      <c r="D317" s="205"/>
      <c r="E317" s="204">
        <v>3</v>
      </c>
      <c r="F317" s="204">
        <v>62</v>
      </c>
      <c r="G317" s="204">
        <f t="shared" si="19"/>
        <v>44</v>
      </c>
      <c r="H317" s="204">
        <f t="shared" si="20"/>
        <v>3214.9706744868063</v>
      </c>
      <c r="I317" s="204">
        <f t="shared" si="21"/>
        <v>16610.681818181834</v>
      </c>
      <c r="J317" s="204">
        <f t="shared" si="22"/>
        <v>199328.181818182</v>
      </c>
      <c r="K317" s="204"/>
      <c r="L317" s="154"/>
    </row>
    <row r="318" spans="3:12" x14ac:dyDescent="0.2">
      <c r="C318" s="204">
        <v>1</v>
      </c>
      <c r="D318" s="205"/>
      <c r="E318" s="204">
        <v>2</v>
      </c>
      <c r="F318" s="204">
        <v>34</v>
      </c>
      <c r="G318" s="204">
        <f t="shared" si="19"/>
        <v>40</v>
      </c>
      <c r="H318" s="204">
        <f t="shared" si="20"/>
        <v>4092.754010695191</v>
      </c>
      <c r="I318" s="204">
        <f t="shared" si="21"/>
        <v>11596.136363636375</v>
      </c>
      <c r="J318" s="204">
        <f t="shared" si="22"/>
        <v>139153.6363636365</v>
      </c>
      <c r="K318" s="204"/>
      <c r="L318" s="154"/>
    </row>
    <row r="319" spans="3:12" x14ac:dyDescent="0.2">
      <c r="C319" s="204">
        <v>1</v>
      </c>
      <c r="D319" s="205"/>
      <c r="E319" s="204">
        <v>4</v>
      </c>
      <c r="F319" s="204">
        <v>83</v>
      </c>
      <c r="G319" s="204">
        <f t="shared" si="19"/>
        <v>49</v>
      </c>
      <c r="H319" s="204">
        <f t="shared" si="20"/>
        <v>2990.6024096385568</v>
      </c>
      <c r="I319" s="204">
        <f t="shared" si="21"/>
        <v>20685.000000000018</v>
      </c>
      <c r="J319" s="204">
        <f t="shared" si="22"/>
        <v>248220.00000000023</v>
      </c>
      <c r="K319" s="204"/>
      <c r="L319" s="154"/>
    </row>
    <row r="320" spans="3:12" x14ac:dyDescent="0.2">
      <c r="C320" s="204">
        <v>1</v>
      </c>
      <c r="D320" s="205"/>
      <c r="E320" s="204">
        <v>3</v>
      </c>
      <c r="F320" s="204">
        <v>62</v>
      </c>
      <c r="G320" s="204">
        <f t="shared" si="19"/>
        <v>44</v>
      </c>
      <c r="H320" s="204">
        <f t="shared" si="20"/>
        <v>3214.9706744868063</v>
      </c>
      <c r="I320" s="204">
        <f t="shared" si="21"/>
        <v>16610.681818181834</v>
      </c>
      <c r="J320" s="204">
        <f t="shared" si="22"/>
        <v>199328.181818182</v>
      </c>
      <c r="K320" s="204"/>
      <c r="L320" s="154"/>
    </row>
    <row r="321" spans="3:12" x14ac:dyDescent="0.2">
      <c r="C321" s="204">
        <v>1</v>
      </c>
      <c r="D321" s="205"/>
      <c r="E321" s="204">
        <v>2</v>
      </c>
      <c r="F321" s="204">
        <v>34</v>
      </c>
      <c r="G321" s="204">
        <f t="shared" si="19"/>
        <v>40</v>
      </c>
      <c r="H321" s="204">
        <f t="shared" si="20"/>
        <v>4092.754010695191</v>
      </c>
      <c r="I321" s="204">
        <f t="shared" si="21"/>
        <v>11596.136363636375</v>
      </c>
      <c r="J321" s="204">
        <f t="shared" si="22"/>
        <v>139153.6363636365</v>
      </c>
      <c r="K321" s="204"/>
      <c r="L321" s="154"/>
    </row>
    <row r="322" spans="3:12" x14ac:dyDescent="0.2">
      <c r="C322" s="204">
        <v>1</v>
      </c>
      <c r="D322" s="205"/>
      <c r="E322" s="204">
        <v>4</v>
      </c>
      <c r="F322" s="204">
        <v>83</v>
      </c>
      <c r="G322" s="204">
        <f t="shared" si="19"/>
        <v>49</v>
      </c>
      <c r="H322" s="204">
        <f t="shared" si="20"/>
        <v>2990.6024096385568</v>
      </c>
      <c r="I322" s="204">
        <f t="shared" si="21"/>
        <v>20685.000000000018</v>
      </c>
      <c r="J322" s="204">
        <f t="shared" si="22"/>
        <v>248220.00000000023</v>
      </c>
      <c r="K322" s="204"/>
      <c r="L322" s="154"/>
    </row>
    <row r="323" spans="3:12" x14ac:dyDescent="0.2">
      <c r="C323" s="204">
        <v>1</v>
      </c>
      <c r="D323" s="205"/>
      <c r="E323" s="204">
        <v>3</v>
      </c>
      <c r="F323" s="204">
        <v>62</v>
      </c>
      <c r="G323" s="204">
        <f t="shared" si="19"/>
        <v>44</v>
      </c>
      <c r="H323" s="204">
        <f t="shared" si="20"/>
        <v>3214.9706744868063</v>
      </c>
      <c r="I323" s="204">
        <f t="shared" si="21"/>
        <v>16610.681818181834</v>
      </c>
      <c r="J323" s="204">
        <f t="shared" si="22"/>
        <v>199328.181818182</v>
      </c>
      <c r="K323" s="204"/>
      <c r="L323" s="154"/>
    </row>
    <row r="324" spans="3:12" x14ac:dyDescent="0.2">
      <c r="C324" s="204">
        <v>1</v>
      </c>
      <c r="D324" s="205"/>
      <c r="E324" s="204">
        <v>2</v>
      </c>
      <c r="F324" s="204">
        <v>34</v>
      </c>
      <c r="G324" s="204">
        <f t="shared" si="19"/>
        <v>40</v>
      </c>
      <c r="H324" s="204">
        <f t="shared" si="20"/>
        <v>4092.754010695191</v>
      </c>
      <c r="I324" s="204">
        <f t="shared" si="21"/>
        <v>11596.136363636375</v>
      </c>
      <c r="J324" s="204">
        <f t="shared" si="22"/>
        <v>139153.6363636365</v>
      </c>
      <c r="K324" s="204"/>
      <c r="L324" s="154"/>
    </row>
    <row r="325" spans="3:12" x14ac:dyDescent="0.2">
      <c r="C325" s="204">
        <v>1</v>
      </c>
      <c r="D325" s="205"/>
      <c r="E325" s="204">
        <v>4</v>
      </c>
      <c r="F325" s="204">
        <v>83</v>
      </c>
      <c r="G325" s="204">
        <f t="shared" si="19"/>
        <v>49</v>
      </c>
      <c r="H325" s="204">
        <f t="shared" si="20"/>
        <v>2990.6024096385568</v>
      </c>
      <c r="I325" s="204">
        <f t="shared" si="21"/>
        <v>20685.000000000018</v>
      </c>
      <c r="J325" s="204">
        <f t="shared" si="22"/>
        <v>248220.00000000023</v>
      </c>
      <c r="K325" s="204"/>
      <c r="L325" s="154"/>
    </row>
    <row r="326" spans="3:12" x14ac:dyDescent="0.2">
      <c r="C326" s="204">
        <v>1</v>
      </c>
      <c r="D326" s="205"/>
      <c r="E326" s="204">
        <v>3</v>
      </c>
      <c r="F326" s="204">
        <v>62</v>
      </c>
      <c r="G326" s="204">
        <f t="shared" si="19"/>
        <v>44</v>
      </c>
      <c r="H326" s="204">
        <f t="shared" si="20"/>
        <v>3214.9706744868063</v>
      </c>
      <c r="I326" s="204">
        <f t="shared" si="21"/>
        <v>16610.681818181834</v>
      </c>
      <c r="J326" s="204">
        <f t="shared" si="22"/>
        <v>199328.181818182</v>
      </c>
      <c r="K326" s="204"/>
      <c r="L326" s="154"/>
    </row>
    <row r="327" spans="3:12" x14ac:dyDescent="0.2">
      <c r="C327" s="204">
        <v>1</v>
      </c>
      <c r="D327" s="205"/>
      <c r="E327" s="204">
        <v>2</v>
      </c>
      <c r="F327" s="204">
        <v>34</v>
      </c>
      <c r="G327" s="204">
        <f t="shared" si="19"/>
        <v>40</v>
      </c>
      <c r="H327" s="204">
        <f t="shared" si="20"/>
        <v>4092.754010695191</v>
      </c>
      <c r="I327" s="204">
        <f t="shared" si="21"/>
        <v>11596.136363636375</v>
      </c>
      <c r="J327" s="204">
        <f t="shared" si="22"/>
        <v>139153.6363636365</v>
      </c>
      <c r="K327" s="204"/>
      <c r="L327" s="154"/>
    </row>
    <row r="328" spans="3:12" x14ac:dyDescent="0.2">
      <c r="C328" s="204">
        <v>1</v>
      </c>
      <c r="D328" s="205"/>
      <c r="E328" s="204">
        <v>2</v>
      </c>
      <c r="F328" s="204">
        <v>38</v>
      </c>
      <c r="G328" s="204">
        <f t="shared" si="19"/>
        <v>40</v>
      </c>
      <c r="H328" s="204">
        <f t="shared" si="20"/>
        <v>3859.8803827751231</v>
      </c>
      <c r="I328" s="204">
        <f t="shared" si="21"/>
        <v>12222.954545454557</v>
      </c>
      <c r="J328" s="204">
        <f t="shared" si="22"/>
        <v>146675.45454545468</v>
      </c>
      <c r="K328" s="204"/>
      <c r="L328" s="154"/>
    </row>
    <row r="329" spans="3:12" x14ac:dyDescent="0.2">
      <c r="C329" s="204">
        <v>1</v>
      </c>
      <c r="D329" s="205"/>
      <c r="E329" s="204">
        <v>2</v>
      </c>
      <c r="F329" s="204">
        <v>48</v>
      </c>
      <c r="G329" s="204">
        <f t="shared" si="19"/>
        <v>40</v>
      </c>
      <c r="H329" s="204">
        <f t="shared" si="20"/>
        <v>3447.5000000000032</v>
      </c>
      <c r="I329" s="204">
        <f t="shared" si="21"/>
        <v>13790.000000000013</v>
      </c>
      <c r="J329" s="204">
        <f t="shared" si="22"/>
        <v>165480.00000000015</v>
      </c>
      <c r="K329" s="204"/>
      <c r="L329" s="154"/>
    </row>
    <row r="330" spans="3:12" x14ac:dyDescent="0.2">
      <c r="C330" s="204">
        <v>1</v>
      </c>
      <c r="D330" s="205"/>
      <c r="E330" s="204">
        <v>1</v>
      </c>
      <c r="F330" s="204">
        <v>26</v>
      </c>
      <c r="G330" s="204">
        <f t="shared" si="19"/>
        <v>34</v>
      </c>
      <c r="H330" s="204">
        <f t="shared" si="20"/>
        <v>4339.5104895104932</v>
      </c>
      <c r="I330" s="204">
        <f t="shared" si="21"/>
        <v>9402.2727272727352</v>
      </c>
      <c r="J330" s="204">
        <f t="shared" si="22"/>
        <v>112827.27272727282</v>
      </c>
      <c r="K330" s="204"/>
      <c r="L330" s="154"/>
    </row>
    <row r="331" spans="3:12" x14ac:dyDescent="0.2">
      <c r="C331" s="204">
        <v>1</v>
      </c>
      <c r="D331" s="205"/>
      <c r="E331" s="204">
        <v>1</v>
      </c>
      <c r="F331" s="204">
        <v>26</v>
      </c>
      <c r="G331" s="204">
        <f t="shared" si="19"/>
        <v>34</v>
      </c>
      <c r="H331" s="204">
        <f t="shared" si="20"/>
        <v>4339.5104895104932</v>
      </c>
      <c r="I331" s="204">
        <f t="shared" si="21"/>
        <v>9402.2727272727352</v>
      </c>
      <c r="J331" s="204">
        <f t="shared" si="22"/>
        <v>112827.27272727282</v>
      </c>
      <c r="K331" s="204"/>
      <c r="L331" s="154"/>
    </row>
    <row r="332" spans="3:12" x14ac:dyDescent="0.2">
      <c r="C332" s="204">
        <v>1</v>
      </c>
      <c r="D332" s="205"/>
      <c r="E332" s="204">
        <v>1</v>
      </c>
      <c r="F332" s="204">
        <v>26</v>
      </c>
      <c r="G332" s="204">
        <f t="shared" si="19"/>
        <v>34</v>
      </c>
      <c r="H332" s="204">
        <f t="shared" si="20"/>
        <v>4339.5104895104932</v>
      </c>
      <c r="I332" s="204">
        <f t="shared" si="21"/>
        <v>9402.2727272727352</v>
      </c>
      <c r="J332" s="204">
        <f t="shared" si="22"/>
        <v>112827.27272727282</v>
      </c>
      <c r="K332" s="204"/>
      <c r="L332" s="154"/>
    </row>
    <row r="333" spans="3:12" x14ac:dyDescent="0.2">
      <c r="C333" s="204">
        <v>1</v>
      </c>
      <c r="D333" s="205"/>
      <c r="E333" s="204">
        <v>1</v>
      </c>
      <c r="F333" s="204">
        <v>26</v>
      </c>
      <c r="G333" s="204">
        <f t="shared" si="19"/>
        <v>34</v>
      </c>
      <c r="H333" s="204">
        <f t="shared" si="20"/>
        <v>4339.5104895104932</v>
      </c>
      <c r="I333" s="204">
        <f t="shared" si="21"/>
        <v>9402.2727272727352</v>
      </c>
      <c r="J333" s="204">
        <f t="shared" si="22"/>
        <v>112827.27272727282</v>
      </c>
      <c r="K333" s="204"/>
      <c r="L333" s="154"/>
    </row>
    <row r="334" spans="3:12" x14ac:dyDescent="0.2">
      <c r="C334" s="204">
        <v>1</v>
      </c>
      <c r="D334" s="205"/>
      <c r="E334" s="204">
        <v>3</v>
      </c>
      <c r="F334" s="204">
        <v>52</v>
      </c>
      <c r="G334" s="204">
        <f t="shared" si="19"/>
        <v>44</v>
      </c>
      <c r="H334" s="204">
        <f t="shared" si="20"/>
        <v>3471.6083916083949</v>
      </c>
      <c r="I334" s="204">
        <f t="shared" si="21"/>
        <v>15043.636363636377</v>
      </c>
      <c r="J334" s="204">
        <f t="shared" si="22"/>
        <v>180523.63636363653</v>
      </c>
      <c r="K334" s="204"/>
      <c r="L334" s="154"/>
    </row>
    <row r="335" spans="3:12" x14ac:dyDescent="0.2">
      <c r="C335" s="204">
        <v>1</v>
      </c>
      <c r="D335" s="205"/>
      <c r="E335" s="204">
        <v>2</v>
      </c>
      <c r="F335" s="204">
        <v>44</v>
      </c>
      <c r="G335" s="204">
        <f t="shared" si="19"/>
        <v>40</v>
      </c>
      <c r="H335" s="204">
        <f t="shared" si="20"/>
        <v>3589.9586776859537</v>
      </c>
      <c r="I335" s="204">
        <f t="shared" si="21"/>
        <v>13163.181818181831</v>
      </c>
      <c r="J335" s="204">
        <f t="shared" si="22"/>
        <v>157958.18181818197</v>
      </c>
      <c r="K335" s="204"/>
      <c r="L335" s="154"/>
    </row>
    <row r="336" spans="3:12" x14ac:dyDescent="0.2">
      <c r="C336" s="204">
        <v>1</v>
      </c>
      <c r="D336" s="205"/>
      <c r="E336" s="204">
        <v>2</v>
      </c>
      <c r="F336" s="204">
        <v>38</v>
      </c>
      <c r="G336" s="204">
        <f t="shared" si="19"/>
        <v>40</v>
      </c>
      <c r="H336" s="204">
        <f t="shared" si="20"/>
        <v>3859.8803827751231</v>
      </c>
      <c r="I336" s="204">
        <f t="shared" si="21"/>
        <v>12222.954545454557</v>
      </c>
      <c r="J336" s="204">
        <f t="shared" si="22"/>
        <v>146675.45454545468</v>
      </c>
      <c r="K336" s="204"/>
      <c r="L336" s="154"/>
    </row>
    <row r="337" spans="3:12" x14ac:dyDescent="0.2">
      <c r="C337" s="204">
        <v>1</v>
      </c>
      <c r="D337" s="205"/>
      <c r="E337" s="204">
        <v>2</v>
      </c>
      <c r="F337" s="204">
        <v>48</v>
      </c>
      <c r="G337" s="204">
        <f t="shared" si="19"/>
        <v>40</v>
      </c>
      <c r="H337" s="204">
        <f t="shared" si="20"/>
        <v>3447.5000000000032</v>
      </c>
      <c r="I337" s="204">
        <f t="shared" si="21"/>
        <v>13790.000000000013</v>
      </c>
      <c r="J337" s="204">
        <f t="shared" si="22"/>
        <v>165480.00000000015</v>
      </c>
      <c r="K337" s="204"/>
      <c r="L337" s="154"/>
    </row>
    <row r="338" spans="3:12" x14ac:dyDescent="0.2">
      <c r="C338" s="204">
        <v>1</v>
      </c>
      <c r="D338" s="205"/>
      <c r="E338" s="204">
        <v>1</v>
      </c>
      <c r="F338" s="204">
        <v>26</v>
      </c>
      <c r="G338" s="204">
        <f t="shared" si="19"/>
        <v>34</v>
      </c>
      <c r="H338" s="204">
        <f t="shared" si="20"/>
        <v>4339.5104895104932</v>
      </c>
      <c r="I338" s="204">
        <f t="shared" si="21"/>
        <v>9402.2727272727352</v>
      </c>
      <c r="J338" s="204">
        <f t="shared" si="22"/>
        <v>112827.27272727282</v>
      </c>
      <c r="K338" s="204"/>
      <c r="L338" s="154"/>
    </row>
    <row r="339" spans="3:12" x14ac:dyDescent="0.2">
      <c r="C339" s="204">
        <v>1</v>
      </c>
      <c r="D339" s="205"/>
      <c r="E339" s="204">
        <v>1</v>
      </c>
      <c r="F339" s="204">
        <v>26</v>
      </c>
      <c r="G339" s="204">
        <f t="shared" si="19"/>
        <v>34</v>
      </c>
      <c r="H339" s="204">
        <f t="shared" si="20"/>
        <v>4339.5104895104932</v>
      </c>
      <c r="I339" s="204">
        <f t="shared" si="21"/>
        <v>9402.2727272727352</v>
      </c>
      <c r="J339" s="204">
        <f t="shared" si="22"/>
        <v>112827.27272727282</v>
      </c>
      <c r="K339" s="204"/>
      <c r="L339" s="154"/>
    </row>
    <row r="340" spans="3:12" x14ac:dyDescent="0.2">
      <c r="C340" s="204">
        <v>1</v>
      </c>
      <c r="D340" s="205"/>
      <c r="E340" s="204">
        <v>1</v>
      </c>
      <c r="F340" s="204">
        <v>26</v>
      </c>
      <c r="G340" s="204">
        <f t="shared" si="19"/>
        <v>34</v>
      </c>
      <c r="H340" s="204">
        <f t="shared" si="20"/>
        <v>4339.5104895104932</v>
      </c>
      <c r="I340" s="204">
        <f t="shared" si="21"/>
        <v>9402.2727272727352</v>
      </c>
      <c r="J340" s="204">
        <f t="shared" si="22"/>
        <v>112827.27272727282</v>
      </c>
      <c r="K340" s="204"/>
      <c r="L340" s="154"/>
    </row>
    <row r="341" spans="3:12" x14ac:dyDescent="0.2">
      <c r="C341" s="204">
        <v>1</v>
      </c>
      <c r="D341" s="205"/>
      <c r="E341" s="204">
        <v>1</v>
      </c>
      <c r="F341" s="204">
        <v>26</v>
      </c>
      <c r="G341" s="204">
        <f t="shared" si="19"/>
        <v>34</v>
      </c>
      <c r="H341" s="204">
        <f t="shared" si="20"/>
        <v>4339.5104895104932</v>
      </c>
      <c r="I341" s="204">
        <f t="shared" si="21"/>
        <v>9402.2727272727352</v>
      </c>
      <c r="J341" s="204">
        <f t="shared" si="22"/>
        <v>112827.27272727282</v>
      </c>
      <c r="K341" s="204"/>
      <c r="L341" s="154"/>
    </row>
    <row r="342" spans="3:12" x14ac:dyDescent="0.2">
      <c r="C342" s="204">
        <v>1</v>
      </c>
      <c r="D342" s="205"/>
      <c r="E342" s="204">
        <v>3</v>
      </c>
      <c r="F342" s="204">
        <v>52</v>
      </c>
      <c r="G342" s="204">
        <f t="shared" si="19"/>
        <v>44</v>
      </c>
      <c r="H342" s="204">
        <f t="shared" si="20"/>
        <v>3471.6083916083949</v>
      </c>
      <c r="I342" s="204">
        <f t="shared" si="21"/>
        <v>15043.636363636377</v>
      </c>
      <c r="J342" s="204">
        <f t="shared" si="22"/>
        <v>180523.63636363653</v>
      </c>
      <c r="K342" s="204"/>
      <c r="L342" s="154"/>
    </row>
    <row r="343" spans="3:12" x14ac:dyDescent="0.2">
      <c r="C343" s="204">
        <v>1</v>
      </c>
      <c r="D343" s="205"/>
      <c r="E343" s="204">
        <v>2</v>
      </c>
      <c r="F343" s="204">
        <v>49</v>
      </c>
      <c r="G343" s="204">
        <f t="shared" si="19"/>
        <v>40</v>
      </c>
      <c r="H343" s="204">
        <f t="shared" si="20"/>
        <v>3415.5194805194837</v>
      </c>
      <c r="I343" s="204">
        <f t="shared" si="21"/>
        <v>13946.704545454559</v>
      </c>
      <c r="J343" s="204">
        <f t="shared" si="22"/>
        <v>167360.4545454547</v>
      </c>
      <c r="K343" s="204"/>
      <c r="L343" s="154"/>
    </row>
    <row r="344" spans="3:12" x14ac:dyDescent="0.2">
      <c r="C344" s="204">
        <v>1</v>
      </c>
      <c r="D344" s="205"/>
      <c r="E344" s="204">
        <v>2</v>
      </c>
      <c r="F344" s="204">
        <v>38</v>
      </c>
      <c r="G344" s="204">
        <f t="shared" si="19"/>
        <v>40</v>
      </c>
      <c r="H344" s="204">
        <f t="shared" si="20"/>
        <v>3859.8803827751231</v>
      </c>
      <c r="I344" s="204">
        <f t="shared" si="21"/>
        <v>12222.954545454557</v>
      </c>
      <c r="J344" s="204">
        <f t="shared" si="22"/>
        <v>146675.45454545468</v>
      </c>
      <c r="K344" s="204"/>
      <c r="L344" s="154"/>
    </row>
    <row r="345" spans="3:12" x14ac:dyDescent="0.2">
      <c r="C345" s="204">
        <v>1</v>
      </c>
      <c r="D345" s="205"/>
      <c r="E345" s="204">
        <v>2</v>
      </c>
      <c r="F345" s="204">
        <v>48</v>
      </c>
      <c r="G345" s="204">
        <f t="shared" si="19"/>
        <v>40</v>
      </c>
      <c r="H345" s="204">
        <f t="shared" si="20"/>
        <v>3447.5000000000032</v>
      </c>
      <c r="I345" s="204">
        <f t="shared" si="21"/>
        <v>13790.000000000013</v>
      </c>
      <c r="J345" s="204">
        <f t="shared" si="22"/>
        <v>165480.00000000015</v>
      </c>
      <c r="K345" s="204"/>
      <c r="L345" s="154"/>
    </row>
    <row r="346" spans="3:12" x14ac:dyDescent="0.2">
      <c r="C346" s="204">
        <v>1</v>
      </c>
      <c r="D346" s="205"/>
      <c r="E346" s="204">
        <v>1</v>
      </c>
      <c r="F346" s="204">
        <v>26</v>
      </c>
      <c r="G346" s="204">
        <f t="shared" ref="G346:G409" si="23">IF(E346=1,34,IF(E346=2,40,IF(E346=3,44,IF(E346=4,49,IF(E346=5,52,IF(E346=6,55,IF(E346=1.5,27,IF(E346=2.5,34))))))))</f>
        <v>34</v>
      </c>
      <c r="H346" s="204">
        <f t="shared" ref="H346:H409" si="24">+$H$3*(F346+G346)/(1.57142857142857)/F346</f>
        <v>4339.5104895104932</v>
      </c>
      <c r="I346" s="204">
        <f t="shared" si="21"/>
        <v>9402.2727272727352</v>
      </c>
      <c r="J346" s="204">
        <f t="shared" si="22"/>
        <v>112827.27272727282</v>
      </c>
      <c r="K346" s="204"/>
      <c r="L346" s="154"/>
    </row>
    <row r="347" spans="3:12" x14ac:dyDescent="0.2">
      <c r="C347" s="204">
        <v>1</v>
      </c>
      <c r="D347" s="205"/>
      <c r="E347" s="204">
        <v>1</v>
      </c>
      <c r="F347" s="204">
        <v>26</v>
      </c>
      <c r="G347" s="204">
        <f t="shared" si="23"/>
        <v>34</v>
      </c>
      <c r="H347" s="204">
        <f t="shared" si="24"/>
        <v>4339.5104895104932</v>
      </c>
      <c r="I347" s="204">
        <f t="shared" ref="I347:I410" si="25">+F347*H347/12</f>
        <v>9402.2727272727352</v>
      </c>
      <c r="J347" s="204">
        <f t="shared" ref="J347:J410" si="26">+I347*12</f>
        <v>112827.27272727282</v>
      </c>
      <c r="K347" s="204"/>
      <c r="L347" s="154"/>
    </row>
    <row r="348" spans="3:12" x14ac:dyDescent="0.2">
      <c r="C348" s="204">
        <v>1</v>
      </c>
      <c r="D348" s="205"/>
      <c r="E348" s="204">
        <v>1</v>
      </c>
      <c r="F348" s="204">
        <v>26</v>
      </c>
      <c r="G348" s="204">
        <f t="shared" si="23"/>
        <v>34</v>
      </c>
      <c r="H348" s="204">
        <f t="shared" si="24"/>
        <v>4339.5104895104932</v>
      </c>
      <c r="I348" s="204">
        <f t="shared" si="25"/>
        <v>9402.2727272727352</v>
      </c>
      <c r="J348" s="204">
        <f t="shared" si="26"/>
        <v>112827.27272727282</v>
      </c>
      <c r="K348" s="204"/>
      <c r="L348" s="154"/>
    </row>
    <row r="349" spans="3:12" x14ac:dyDescent="0.2">
      <c r="C349" s="204">
        <v>1</v>
      </c>
      <c r="D349" s="205"/>
      <c r="E349" s="204">
        <v>1</v>
      </c>
      <c r="F349" s="204">
        <v>26</v>
      </c>
      <c r="G349" s="204">
        <f t="shared" si="23"/>
        <v>34</v>
      </c>
      <c r="H349" s="204">
        <f t="shared" si="24"/>
        <v>4339.5104895104932</v>
      </c>
      <c r="I349" s="204">
        <f t="shared" si="25"/>
        <v>9402.2727272727352</v>
      </c>
      <c r="J349" s="204">
        <f t="shared" si="26"/>
        <v>112827.27272727282</v>
      </c>
      <c r="K349" s="204"/>
      <c r="L349" s="154"/>
    </row>
    <row r="350" spans="3:12" x14ac:dyDescent="0.2">
      <c r="C350" s="204">
        <v>1</v>
      </c>
      <c r="D350" s="205"/>
      <c r="E350" s="204">
        <v>3</v>
      </c>
      <c r="F350" s="204">
        <v>52</v>
      </c>
      <c r="G350" s="204">
        <f t="shared" si="23"/>
        <v>44</v>
      </c>
      <c r="H350" s="204">
        <f t="shared" si="24"/>
        <v>3471.6083916083949</v>
      </c>
      <c r="I350" s="204">
        <f t="shared" si="25"/>
        <v>15043.636363636377</v>
      </c>
      <c r="J350" s="204">
        <f t="shared" si="26"/>
        <v>180523.63636363653</v>
      </c>
      <c r="K350" s="204"/>
      <c r="L350" s="154"/>
    </row>
    <row r="351" spans="3:12" x14ac:dyDescent="0.2">
      <c r="C351" s="204">
        <v>1</v>
      </c>
      <c r="D351" s="205"/>
      <c r="E351" s="204">
        <v>2</v>
      </c>
      <c r="F351" s="204">
        <v>49</v>
      </c>
      <c r="G351" s="204">
        <f t="shared" si="23"/>
        <v>40</v>
      </c>
      <c r="H351" s="204">
        <f t="shared" si="24"/>
        <v>3415.5194805194837</v>
      </c>
      <c r="I351" s="204">
        <f t="shared" si="25"/>
        <v>13946.704545454559</v>
      </c>
      <c r="J351" s="204">
        <f t="shared" si="26"/>
        <v>167360.4545454547</v>
      </c>
      <c r="K351" s="204"/>
      <c r="L351" s="154"/>
    </row>
    <row r="352" spans="3:12" x14ac:dyDescent="0.2">
      <c r="C352" s="204">
        <v>1</v>
      </c>
      <c r="D352" s="205"/>
      <c r="E352" s="204">
        <v>2</v>
      </c>
      <c r="F352" s="204">
        <v>38</v>
      </c>
      <c r="G352" s="204">
        <f t="shared" si="23"/>
        <v>40</v>
      </c>
      <c r="H352" s="204">
        <f t="shared" si="24"/>
        <v>3859.8803827751231</v>
      </c>
      <c r="I352" s="204">
        <f t="shared" si="25"/>
        <v>12222.954545454557</v>
      </c>
      <c r="J352" s="204">
        <f t="shared" si="26"/>
        <v>146675.45454545468</v>
      </c>
      <c r="K352" s="204"/>
      <c r="L352" s="154"/>
    </row>
    <row r="353" spans="3:12" x14ac:dyDescent="0.2">
      <c r="C353" s="204">
        <v>1</v>
      </c>
      <c r="D353" s="205"/>
      <c r="E353" s="204">
        <v>2</v>
      </c>
      <c r="F353" s="204">
        <v>48</v>
      </c>
      <c r="G353" s="204">
        <f t="shared" si="23"/>
        <v>40</v>
      </c>
      <c r="H353" s="204">
        <f t="shared" si="24"/>
        <v>3447.5000000000032</v>
      </c>
      <c r="I353" s="204">
        <f t="shared" si="25"/>
        <v>13790.000000000013</v>
      </c>
      <c r="J353" s="204">
        <f t="shared" si="26"/>
        <v>165480.00000000015</v>
      </c>
      <c r="K353" s="204"/>
      <c r="L353" s="154"/>
    </row>
    <row r="354" spans="3:12" x14ac:dyDescent="0.2">
      <c r="C354" s="204">
        <v>1</v>
      </c>
      <c r="D354" s="205"/>
      <c r="E354" s="204">
        <v>1</v>
      </c>
      <c r="F354" s="204">
        <v>26</v>
      </c>
      <c r="G354" s="204">
        <f t="shared" si="23"/>
        <v>34</v>
      </c>
      <c r="H354" s="204">
        <f t="shared" si="24"/>
        <v>4339.5104895104932</v>
      </c>
      <c r="I354" s="204">
        <f t="shared" si="25"/>
        <v>9402.2727272727352</v>
      </c>
      <c r="J354" s="204">
        <f t="shared" si="26"/>
        <v>112827.27272727282</v>
      </c>
      <c r="K354" s="204"/>
      <c r="L354" s="154"/>
    </row>
    <row r="355" spans="3:12" x14ac:dyDescent="0.2">
      <c r="C355" s="204">
        <v>1</v>
      </c>
      <c r="D355" s="205"/>
      <c r="E355" s="204">
        <v>1</v>
      </c>
      <c r="F355" s="204">
        <v>26</v>
      </c>
      <c r="G355" s="204">
        <f t="shared" si="23"/>
        <v>34</v>
      </c>
      <c r="H355" s="204">
        <f t="shared" si="24"/>
        <v>4339.5104895104932</v>
      </c>
      <c r="I355" s="204">
        <f t="shared" si="25"/>
        <v>9402.2727272727352</v>
      </c>
      <c r="J355" s="204">
        <f t="shared" si="26"/>
        <v>112827.27272727282</v>
      </c>
      <c r="K355" s="204"/>
      <c r="L355" s="154"/>
    </row>
    <row r="356" spans="3:12" x14ac:dyDescent="0.2">
      <c r="C356" s="204">
        <v>1</v>
      </c>
      <c r="D356" s="205"/>
      <c r="E356" s="204">
        <v>1</v>
      </c>
      <c r="F356" s="204">
        <v>26</v>
      </c>
      <c r="G356" s="204">
        <f t="shared" si="23"/>
        <v>34</v>
      </c>
      <c r="H356" s="204">
        <f t="shared" si="24"/>
        <v>4339.5104895104932</v>
      </c>
      <c r="I356" s="204">
        <f t="shared" si="25"/>
        <v>9402.2727272727352</v>
      </c>
      <c r="J356" s="204">
        <f t="shared" si="26"/>
        <v>112827.27272727282</v>
      </c>
      <c r="K356" s="204"/>
      <c r="L356" s="154"/>
    </row>
    <row r="357" spans="3:12" x14ac:dyDescent="0.2">
      <c r="C357" s="204">
        <v>1</v>
      </c>
      <c r="D357" s="205"/>
      <c r="E357" s="204">
        <v>1</v>
      </c>
      <c r="F357" s="204">
        <v>26</v>
      </c>
      <c r="G357" s="204">
        <f t="shared" si="23"/>
        <v>34</v>
      </c>
      <c r="H357" s="204">
        <f t="shared" si="24"/>
        <v>4339.5104895104932</v>
      </c>
      <c r="I357" s="204">
        <f t="shared" si="25"/>
        <v>9402.2727272727352</v>
      </c>
      <c r="J357" s="204">
        <f t="shared" si="26"/>
        <v>112827.27272727282</v>
      </c>
      <c r="K357" s="204"/>
      <c r="L357" s="154"/>
    </row>
    <row r="358" spans="3:12" x14ac:dyDescent="0.2">
      <c r="C358" s="204">
        <v>1</v>
      </c>
      <c r="D358" s="205"/>
      <c r="E358" s="204">
        <v>3</v>
      </c>
      <c r="F358" s="204">
        <v>52</v>
      </c>
      <c r="G358" s="204">
        <f t="shared" si="23"/>
        <v>44</v>
      </c>
      <c r="H358" s="204">
        <f t="shared" si="24"/>
        <v>3471.6083916083949</v>
      </c>
      <c r="I358" s="204">
        <f t="shared" si="25"/>
        <v>15043.636363636377</v>
      </c>
      <c r="J358" s="204">
        <f t="shared" si="26"/>
        <v>180523.63636363653</v>
      </c>
      <c r="K358" s="204"/>
      <c r="L358" s="154"/>
    </row>
    <row r="359" spans="3:12" x14ac:dyDescent="0.2">
      <c r="C359" s="204">
        <v>1</v>
      </c>
      <c r="D359" s="205"/>
      <c r="E359" s="204">
        <v>2</v>
      </c>
      <c r="F359" s="204">
        <v>49</v>
      </c>
      <c r="G359" s="204">
        <f t="shared" si="23"/>
        <v>40</v>
      </c>
      <c r="H359" s="204">
        <f t="shared" si="24"/>
        <v>3415.5194805194837</v>
      </c>
      <c r="I359" s="204">
        <f t="shared" si="25"/>
        <v>13946.704545454559</v>
      </c>
      <c r="J359" s="204">
        <f t="shared" si="26"/>
        <v>167360.4545454547</v>
      </c>
      <c r="K359" s="204"/>
      <c r="L359" s="154"/>
    </row>
    <row r="360" spans="3:12" x14ac:dyDescent="0.2">
      <c r="C360" s="204">
        <v>1</v>
      </c>
      <c r="D360" s="205"/>
      <c r="E360" s="204">
        <v>2</v>
      </c>
      <c r="F360" s="204">
        <v>38</v>
      </c>
      <c r="G360" s="204">
        <f t="shared" si="23"/>
        <v>40</v>
      </c>
      <c r="H360" s="204">
        <f t="shared" si="24"/>
        <v>3859.8803827751231</v>
      </c>
      <c r="I360" s="204">
        <f t="shared" si="25"/>
        <v>12222.954545454557</v>
      </c>
      <c r="J360" s="204">
        <f t="shared" si="26"/>
        <v>146675.45454545468</v>
      </c>
      <c r="K360" s="204"/>
      <c r="L360" s="154"/>
    </row>
    <row r="361" spans="3:12" x14ac:dyDescent="0.2">
      <c r="C361" s="204">
        <v>1</v>
      </c>
      <c r="D361" s="205"/>
      <c r="E361" s="204">
        <v>2</v>
      </c>
      <c r="F361" s="204">
        <v>48</v>
      </c>
      <c r="G361" s="204">
        <f t="shared" si="23"/>
        <v>40</v>
      </c>
      <c r="H361" s="204">
        <f t="shared" si="24"/>
        <v>3447.5000000000032</v>
      </c>
      <c r="I361" s="204">
        <f t="shared" si="25"/>
        <v>13790.000000000013</v>
      </c>
      <c r="J361" s="204">
        <f t="shared" si="26"/>
        <v>165480.00000000015</v>
      </c>
      <c r="K361" s="204"/>
      <c r="L361" s="154"/>
    </row>
    <row r="362" spans="3:12" x14ac:dyDescent="0.2">
      <c r="C362" s="204">
        <v>1</v>
      </c>
      <c r="D362" s="205"/>
      <c r="E362" s="204">
        <v>1</v>
      </c>
      <c r="F362" s="204">
        <v>26</v>
      </c>
      <c r="G362" s="204">
        <f t="shared" si="23"/>
        <v>34</v>
      </c>
      <c r="H362" s="204">
        <f t="shared" si="24"/>
        <v>4339.5104895104932</v>
      </c>
      <c r="I362" s="204">
        <f t="shared" si="25"/>
        <v>9402.2727272727352</v>
      </c>
      <c r="J362" s="204">
        <f t="shared" si="26"/>
        <v>112827.27272727282</v>
      </c>
      <c r="K362" s="204"/>
      <c r="L362" s="154"/>
    </row>
    <row r="363" spans="3:12" x14ac:dyDescent="0.2">
      <c r="C363" s="204">
        <v>1</v>
      </c>
      <c r="D363" s="205"/>
      <c r="E363" s="204">
        <v>1</v>
      </c>
      <c r="F363" s="204">
        <v>26</v>
      </c>
      <c r="G363" s="204">
        <f t="shared" si="23"/>
        <v>34</v>
      </c>
      <c r="H363" s="204">
        <f t="shared" si="24"/>
        <v>4339.5104895104932</v>
      </c>
      <c r="I363" s="204">
        <f t="shared" si="25"/>
        <v>9402.2727272727352</v>
      </c>
      <c r="J363" s="204">
        <f t="shared" si="26"/>
        <v>112827.27272727282</v>
      </c>
      <c r="K363" s="204"/>
      <c r="L363" s="154"/>
    </row>
    <row r="364" spans="3:12" x14ac:dyDescent="0.2">
      <c r="C364" s="204">
        <v>1</v>
      </c>
      <c r="D364" s="205"/>
      <c r="E364" s="204">
        <v>1</v>
      </c>
      <c r="F364" s="204">
        <v>26</v>
      </c>
      <c r="G364" s="204">
        <f t="shared" si="23"/>
        <v>34</v>
      </c>
      <c r="H364" s="204">
        <f t="shared" si="24"/>
        <v>4339.5104895104932</v>
      </c>
      <c r="I364" s="204">
        <f t="shared" si="25"/>
        <v>9402.2727272727352</v>
      </c>
      <c r="J364" s="204">
        <f t="shared" si="26"/>
        <v>112827.27272727282</v>
      </c>
      <c r="K364" s="204"/>
      <c r="L364" s="154"/>
    </row>
    <row r="365" spans="3:12" x14ac:dyDescent="0.2">
      <c r="C365" s="204">
        <v>1</v>
      </c>
      <c r="D365" s="205"/>
      <c r="E365" s="204">
        <v>1</v>
      </c>
      <c r="F365" s="204">
        <v>26</v>
      </c>
      <c r="G365" s="204">
        <f t="shared" si="23"/>
        <v>34</v>
      </c>
      <c r="H365" s="204">
        <f t="shared" si="24"/>
        <v>4339.5104895104932</v>
      </c>
      <c r="I365" s="204">
        <f t="shared" si="25"/>
        <v>9402.2727272727352</v>
      </c>
      <c r="J365" s="204">
        <f t="shared" si="26"/>
        <v>112827.27272727282</v>
      </c>
      <c r="K365" s="204"/>
      <c r="L365" s="154"/>
    </row>
    <row r="366" spans="3:12" x14ac:dyDescent="0.2">
      <c r="C366" s="204">
        <v>1</v>
      </c>
      <c r="D366" s="205"/>
      <c r="E366" s="204">
        <v>3</v>
      </c>
      <c r="F366" s="204">
        <v>52</v>
      </c>
      <c r="G366" s="204">
        <f t="shared" si="23"/>
        <v>44</v>
      </c>
      <c r="H366" s="204">
        <f t="shared" si="24"/>
        <v>3471.6083916083949</v>
      </c>
      <c r="I366" s="204">
        <f t="shared" si="25"/>
        <v>15043.636363636377</v>
      </c>
      <c r="J366" s="204">
        <f t="shared" si="26"/>
        <v>180523.63636363653</v>
      </c>
      <c r="K366" s="204"/>
      <c r="L366" s="154"/>
    </row>
    <row r="367" spans="3:12" x14ac:dyDescent="0.2">
      <c r="C367" s="204">
        <v>1</v>
      </c>
      <c r="D367" s="205"/>
      <c r="E367" s="204">
        <v>2</v>
      </c>
      <c r="F367" s="204">
        <v>49</v>
      </c>
      <c r="G367" s="204">
        <f t="shared" si="23"/>
        <v>40</v>
      </c>
      <c r="H367" s="204">
        <f t="shared" si="24"/>
        <v>3415.5194805194837</v>
      </c>
      <c r="I367" s="204">
        <f t="shared" si="25"/>
        <v>13946.704545454559</v>
      </c>
      <c r="J367" s="204">
        <f t="shared" si="26"/>
        <v>167360.4545454547</v>
      </c>
      <c r="K367" s="204"/>
      <c r="L367" s="154"/>
    </row>
    <row r="368" spans="3:12" x14ac:dyDescent="0.2">
      <c r="C368" s="204">
        <v>1</v>
      </c>
      <c r="D368" s="205"/>
      <c r="E368" s="204">
        <v>2</v>
      </c>
      <c r="F368" s="204">
        <v>38</v>
      </c>
      <c r="G368" s="204">
        <f t="shared" si="23"/>
        <v>40</v>
      </c>
      <c r="H368" s="204">
        <f t="shared" si="24"/>
        <v>3859.8803827751231</v>
      </c>
      <c r="I368" s="204">
        <f t="shared" si="25"/>
        <v>12222.954545454557</v>
      </c>
      <c r="J368" s="204">
        <f t="shared" si="26"/>
        <v>146675.45454545468</v>
      </c>
      <c r="K368" s="204"/>
      <c r="L368" s="154"/>
    </row>
    <row r="369" spans="3:12" x14ac:dyDescent="0.2">
      <c r="C369" s="204">
        <v>1</v>
      </c>
      <c r="D369" s="205"/>
      <c r="E369" s="204">
        <v>2</v>
      </c>
      <c r="F369" s="204">
        <v>48</v>
      </c>
      <c r="G369" s="204">
        <f t="shared" si="23"/>
        <v>40</v>
      </c>
      <c r="H369" s="204">
        <f t="shared" si="24"/>
        <v>3447.5000000000032</v>
      </c>
      <c r="I369" s="204">
        <f t="shared" si="25"/>
        <v>13790.000000000013</v>
      </c>
      <c r="J369" s="204">
        <f t="shared" si="26"/>
        <v>165480.00000000015</v>
      </c>
      <c r="K369" s="204"/>
      <c r="L369" s="154"/>
    </row>
    <row r="370" spans="3:12" x14ac:dyDescent="0.2">
      <c r="C370" s="204">
        <v>1</v>
      </c>
      <c r="D370" s="205"/>
      <c r="E370" s="204">
        <v>1</v>
      </c>
      <c r="F370" s="204">
        <v>26</v>
      </c>
      <c r="G370" s="204">
        <f t="shared" si="23"/>
        <v>34</v>
      </c>
      <c r="H370" s="204">
        <f t="shared" si="24"/>
        <v>4339.5104895104932</v>
      </c>
      <c r="I370" s="204">
        <f t="shared" si="25"/>
        <v>9402.2727272727352</v>
      </c>
      <c r="J370" s="204">
        <f t="shared" si="26"/>
        <v>112827.27272727282</v>
      </c>
      <c r="K370" s="204"/>
      <c r="L370" s="154"/>
    </row>
    <row r="371" spans="3:12" x14ac:dyDescent="0.2">
      <c r="C371" s="204">
        <v>1</v>
      </c>
      <c r="D371" s="205"/>
      <c r="E371" s="204">
        <v>1</v>
      </c>
      <c r="F371" s="204">
        <v>26</v>
      </c>
      <c r="G371" s="204">
        <f t="shared" si="23"/>
        <v>34</v>
      </c>
      <c r="H371" s="204">
        <f t="shared" si="24"/>
        <v>4339.5104895104932</v>
      </c>
      <c r="I371" s="204">
        <f t="shared" si="25"/>
        <v>9402.2727272727352</v>
      </c>
      <c r="J371" s="204">
        <f t="shared" si="26"/>
        <v>112827.27272727282</v>
      </c>
      <c r="K371" s="204"/>
      <c r="L371" s="154"/>
    </row>
    <row r="372" spans="3:12" x14ac:dyDescent="0.2">
      <c r="C372" s="204">
        <v>1</v>
      </c>
      <c r="D372" s="205"/>
      <c r="E372" s="204">
        <v>1</v>
      </c>
      <c r="F372" s="204">
        <v>26</v>
      </c>
      <c r="G372" s="204">
        <f t="shared" si="23"/>
        <v>34</v>
      </c>
      <c r="H372" s="204">
        <f t="shared" si="24"/>
        <v>4339.5104895104932</v>
      </c>
      <c r="I372" s="204">
        <f t="shared" si="25"/>
        <v>9402.2727272727352</v>
      </c>
      <c r="J372" s="204">
        <f t="shared" si="26"/>
        <v>112827.27272727282</v>
      </c>
      <c r="K372" s="204"/>
      <c r="L372" s="154"/>
    </row>
    <row r="373" spans="3:12" x14ac:dyDescent="0.2">
      <c r="C373" s="204">
        <v>1</v>
      </c>
      <c r="D373" s="205"/>
      <c r="E373" s="204">
        <v>1</v>
      </c>
      <c r="F373" s="204">
        <v>26</v>
      </c>
      <c r="G373" s="204">
        <f t="shared" si="23"/>
        <v>34</v>
      </c>
      <c r="H373" s="204">
        <f t="shared" si="24"/>
        <v>4339.5104895104932</v>
      </c>
      <c r="I373" s="204">
        <f t="shared" si="25"/>
        <v>9402.2727272727352</v>
      </c>
      <c r="J373" s="204">
        <f t="shared" si="26"/>
        <v>112827.27272727282</v>
      </c>
      <c r="K373" s="204"/>
      <c r="L373" s="154"/>
    </row>
    <row r="374" spans="3:12" x14ac:dyDescent="0.2">
      <c r="C374" s="204">
        <v>1</v>
      </c>
      <c r="D374" s="205"/>
      <c r="E374" s="204">
        <v>3</v>
      </c>
      <c r="F374" s="204">
        <v>52</v>
      </c>
      <c r="G374" s="204">
        <f t="shared" si="23"/>
        <v>44</v>
      </c>
      <c r="H374" s="204">
        <f t="shared" si="24"/>
        <v>3471.6083916083949</v>
      </c>
      <c r="I374" s="204">
        <f t="shared" si="25"/>
        <v>15043.636363636377</v>
      </c>
      <c r="J374" s="204">
        <f t="shared" si="26"/>
        <v>180523.63636363653</v>
      </c>
      <c r="K374" s="204"/>
      <c r="L374" s="154"/>
    </row>
    <row r="375" spans="3:12" x14ac:dyDescent="0.2">
      <c r="C375" s="204">
        <v>1</v>
      </c>
      <c r="D375" s="205"/>
      <c r="E375" s="204">
        <v>2</v>
      </c>
      <c r="F375" s="204">
        <v>49</v>
      </c>
      <c r="G375" s="204">
        <f t="shared" si="23"/>
        <v>40</v>
      </c>
      <c r="H375" s="204">
        <f t="shared" si="24"/>
        <v>3415.5194805194837</v>
      </c>
      <c r="I375" s="204">
        <f t="shared" si="25"/>
        <v>13946.704545454559</v>
      </c>
      <c r="J375" s="204">
        <f t="shared" si="26"/>
        <v>167360.4545454547</v>
      </c>
      <c r="K375" s="204"/>
      <c r="L375" s="154"/>
    </row>
    <row r="376" spans="3:12" x14ac:dyDescent="0.2">
      <c r="C376" s="204">
        <v>1</v>
      </c>
      <c r="D376" s="205"/>
      <c r="E376" s="204">
        <v>1</v>
      </c>
      <c r="F376" s="204">
        <v>24</v>
      </c>
      <c r="G376" s="204">
        <f t="shared" si="23"/>
        <v>34</v>
      </c>
      <c r="H376" s="204">
        <f t="shared" si="24"/>
        <v>4544.4318181818226</v>
      </c>
      <c r="I376" s="204">
        <f t="shared" si="25"/>
        <v>9088.8636363636451</v>
      </c>
      <c r="J376" s="204">
        <f t="shared" si="26"/>
        <v>109066.36363636373</v>
      </c>
      <c r="K376" s="204"/>
      <c r="L376" s="154"/>
    </row>
    <row r="377" spans="3:12" x14ac:dyDescent="0.2">
      <c r="C377" s="204">
        <v>1</v>
      </c>
      <c r="D377" s="205"/>
      <c r="E377" s="204">
        <v>2</v>
      </c>
      <c r="F377" s="204">
        <v>42</v>
      </c>
      <c r="G377" s="204">
        <f t="shared" si="23"/>
        <v>40</v>
      </c>
      <c r="H377" s="204">
        <f t="shared" si="24"/>
        <v>3671.3636363636392</v>
      </c>
      <c r="I377" s="204">
        <f t="shared" si="25"/>
        <v>12849.772727272737</v>
      </c>
      <c r="J377" s="204">
        <f t="shared" si="26"/>
        <v>154197.27272727285</v>
      </c>
      <c r="K377" s="204"/>
      <c r="L377" s="154"/>
    </row>
    <row r="378" spans="3:12" x14ac:dyDescent="0.2">
      <c r="C378" s="204">
        <v>1</v>
      </c>
      <c r="D378" s="205"/>
      <c r="E378" s="204">
        <v>1</v>
      </c>
      <c r="F378" s="204">
        <v>26</v>
      </c>
      <c r="G378" s="204">
        <f t="shared" si="23"/>
        <v>34</v>
      </c>
      <c r="H378" s="204">
        <f t="shared" si="24"/>
        <v>4339.5104895104932</v>
      </c>
      <c r="I378" s="204">
        <f t="shared" si="25"/>
        <v>9402.2727272727352</v>
      </c>
      <c r="J378" s="204">
        <f t="shared" si="26"/>
        <v>112827.27272727282</v>
      </c>
      <c r="K378" s="204"/>
      <c r="L378" s="154"/>
    </row>
    <row r="379" spans="3:12" x14ac:dyDescent="0.2">
      <c r="C379" s="204">
        <v>1</v>
      </c>
      <c r="D379" s="205"/>
      <c r="E379" s="204">
        <v>1</v>
      </c>
      <c r="F379" s="204">
        <v>26</v>
      </c>
      <c r="G379" s="204">
        <f t="shared" si="23"/>
        <v>34</v>
      </c>
      <c r="H379" s="204">
        <f t="shared" si="24"/>
        <v>4339.5104895104932</v>
      </c>
      <c r="I379" s="204">
        <f t="shared" si="25"/>
        <v>9402.2727272727352</v>
      </c>
      <c r="J379" s="204">
        <f t="shared" si="26"/>
        <v>112827.27272727282</v>
      </c>
      <c r="K379" s="204"/>
      <c r="L379" s="154"/>
    </row>
    <row r="380" spans="3:12" x14ac:dyDescent="0.2">
      <c r="C380" s="204">
        <v>1</v>
      </c>
      <c r="D380" s="205"/>
      <c r="E380" s="204">
        <v>1</v>
      </c>
      <c r="F380" s="204">
        <v>26</v>
      </c>
      <c r="G380" s="204">
        <f t="shared" si="23"/>
        <v>34</v>
      </c>
      <c r="H380" s="204">
        <f t="shared" si="24"/>
        <v>4339.5104895104932</v>
      </c>
      <c r="I380" s="204">
        <f t="shared" si="25"/>
        <v>9402.2727272727352</v>
      </c>
      <c r="J380" s="204">
        <f t="shared" si="26"/>
        <v>112827.27272727282</v>
      </c>
      <c r="K380" s="204"/>
      <c r="L380" s="154"/>
    </row>
    <row r="381" spans="3:12" x14ac:dyDescent="0.2">
      <c r="C381" s="204">
        <v>1</v>
      </c>
      <c r="D381" s="205"/>
      <c r="E381" s="204">
        <v>1</v>
      </c>
      <c r="F381" s="204">
        <v>26</v>
      </c>
      <c r="G381" s="204">
        <f t="shared" si="23"/>
        <v>34</v>
      </c>
      <c r="H381" s="204">
        <f t="shared" si="24"/>
        <v>4339.5104895104932</v>
      </c>
      <c r="I381" s="204">
        <f t="shared" si="25"/>
        <v>9402.2727272727352</v>
      </c>
      <c r="J381" s="204">
        <f t="shared" si="26"/>
        <v>112827.27272727282</v>
      </c>
      <c r="K381" s="204"/>
      <c r="L381" s="154"/>
    </row>
    <row r="382" spans="3:12" x14ac:dyDescent="0.2">
      <c r="C382" s="204">
        <v>1</v>
      </c>
      <c r="D382" s="205"/>
      <c r="E382" s="204">
        <v>3</v>
      </c>
      <c r="F382" s="204">
        <v>52</v>
      </c>
      <c r="G382" s="204">
        <f t="shared" si="23"/>
        <v>44</v>
      </c>
      <c r="H382" s="204">
        <f t="shared" si="24"/>
        <v>3471.6083916083949</v>
      </c>
      <c r="I382" s="204">
        <f t="shared" si="25"/>
        <v>15043.636363636377</v>
      </c>
      <c r="J382" s="204">
        <f t="shared" si="26"/>
        <v>180523.63636363653</v>
      </c>
      <c r="K382" s="204"/>
      <c r="L382" s="154"/>
    </row>
    <row r="383" spans="3:12" x14ac:dyDescent="0.2">
      <c r="C383" s="204">
        <v>1</v>
      </c>
      <c r="D383" s="205"/>
      <c r="E383" s="204">
        <v>1</v>
      </c>
      <c r="F383" s="204">
        <v>31</v>
      </c>
      <c r="G383" s="204">
        <f t="shared" si="23"/>
        <v>34</v>
      </c>
      <c r="H383" s="204">
        <f t="shared" si="24"/>
        <v>3942.8885630498567</v>
      </c>
      <c r="I383" s="204">
        <f t="shared" si="25"/>
        <v>10185.795454545463</v>
      </c>
      <c r="J383" s="204">
        <f t="shared" si="26"/>
        <v>122229.54545454556</v>
      </c>
      <c r="K383" s="204"/>
      <c r="L383" s="154"/>
    </row>
    <row r="384" spans="3:12" x14ac:dyDescent="0.2">
      <c r="C384" s="204">
        <v>1</v>
      </c>
      <c r="D384" s="205"/>
      <c r="E384" s="204">
        <v>2</v>
      </c>
      <c r="F384" s="204">
        <v>38</v>
      </c>
      <c r="G384" s="204">
        <f t="shared" si="23"/>
        <v>40</v>
      </c>
      <c r="H384" s="204">
        <f t="shared" si="24"/>
        <v>3859.8803827751231</v>
      </c>
      <c r="I384" s="204">
        <f t="shared" si="25"/>
        <v>12222.954545454557</v>
      </c>
      <c r="J384" s="204">
        <f t="shared" si="26"/>
        <v>146675.45454545468</v>
      </c>
      <c r="K384" s="204"/>
      <c r="L384" s="154"/>
    </row>
    <row r="385" spans="3:12" x14ac:dyDescent="0.2">
      <c r="C385" s="204">
        <v>1</v>
      </c>
      <c r="D385" s="205"/>
      <c r="E385" s="204">
        <v>1</v>
      </c>
      <c r="F385" s="204">
        <v>28</v>
      </c>
      <c r="G385" s="204">
        <f t="shared" si="23"/>
        <v>34</v>
      </c>
      <c r="H385" s="204">
        <f t="shared" si="24"/>
        <v>4163.8636363636406</v>
      </c>
      <c r="I385" s="204">
        <f t="shared" si="25"/>
        <v>9715.6818181818289</v>
      </c>
      <c r="J385" s="204">
        <f t="shared" si="26"/>
        <v>116588.18181818194</v>
      </c>
      <c r="K385" s="204"/>
      <c r="L385" s="154"/>
    </row>
    <row r="386" spans="3:12" x14ac:dyDescent="0.2">
      <c r="C386" s="204">
        <v>1</v>
      </c>
      <c r="D386" s="205"/>
      <c r="E386" s="204">
        <v>3</v>
      </c>
      <c r="F386" s="204">
        <v>53</v>
      </c>
      <c r="G386" s="204">
        <f t="shared" si="23"/>
        <v>44</v>
      </c>
      <c r="H386" s="204">
        <f t="shared" si="24"/>
        <v>3441.5866209262463</v>
      </c>
      <c r="I386" s="204">
        <f t="shared" si="25"/>
        <v>15200.340909090921</v>
      </c>
      <c r="J386" s="204">
        <f t="shared" si="26"/>
        <v>182404.09090909106</v>
      </c>
      <c r="K386" s="204"/>
      <c r="L386" s="154"/>
    </row>
    <row r="387" spans="3:12" x14ac:dyDescent="0.2">
      <c r="C387" s="204">
        <v>1</v>
      </c>
      <c r="D387" s="205"/>
      <c r="E387" s="204">
        <v>1</v>
      </c>
      <c r="F387" s="204">
        <v>26</v>
      </c>
      <c r="G387" s="204">
        <f t="shared" si="23"/>
        <v>34</v>
      </c>
      <c r="H387" s="204">
        <f t="shared" si="24"/>
        <v>4339.5104895104932</v>
      </c>
      <c r="I387" s="204">
        <f t="shared" si="25"/>
        <v>9402.2727272727352</v>
      </c>
      <c r="J387" s="204">
        <f t="shared" si="26"/>
        <v>112827.27272727282</v>
      </c>
      <c r="K387" s="204"/>
      <c r="L387" s="154"/>
    </row>
    <row r="388" spans="3:12" x14ac:dyDescent="0.2">
      <c r="C388" s="204">
        <v>1</v>
      </c>
      <c r="D388" s="205"/>
      <c r="E388" s="204">
        <v>1</v>
      </c>
      <c r="F388" s="204">
        <v>26</v>
      </c>
      <c r="G388" s="204">
        <f t="shared" si="23"/>
        <v>34</v>
      </c>
      <c r="H388" s="204">
        <f t="shared" si="24"/>
        <v>4339.5104895104932</v>
      </c>
      <c r="I388" s="204">
        <f t="shared" si="25"/>
        <v>9402.2727272727352</v>
      </c>
      <c r="J388" s="204">
        <f t="shared" si="26"/>
        <v>112827.27272727282</v>
      </c>
      <c r="K388" s="204"/>
      <c r="L388" s="154"/>
    </row>
    <row r="389" spans="3:12" x14ac:dyDescent="0.2">
      <c r="C389" s="204">
        <v>1</v>
      </c>
      <c r="D389" s="205"/>
      <c r="E389" s="204">
        <v>1</v>
      </c>
      <c r="F389" s="204">
        <v>26</v>
      </c>
      <c r="G389" s="204">
        <f t="shared" si="23"/>
        <v>34</v>
      </c>
      <c r="H389" s="204">
        <f t="shared" si="24"/>
        <v>4339.5104895104932</v>
      </c>
      <c r="I389" s="204">
        <f t="shared" si="25"/>
        <v>9402.2727272727352</v>
      </c>
      <c r="J389" s="204">
        <f t="shared" si="26"/>
        <v>112827.27272727282</v>
      </c>
      <c r="K389" s="204"/>
      <c r="L389" s="154"/>
    </row>
    <row r="390" spans="3:12" x14ac:dyDescent="0.2">
      <c r="C390" s="204">
        <v>1</v>
      </c>
      <c r="D390" s="205"/>
      <c r="E390" s="204">
        <v>2</v>
      </c>
      <c r="F390" s="204">
        <v>48</v>
      </c>
      <c r="G390" s="204">
        <f t="shared" si="23"/>
        <v>40</v>
      </c>
      <c r="H390" s="204">
        <f t="shared" si="24"/>
        <v>3447.5000000000032</v>
      </c>
      <c r="I390" s="204">
        <f t="shared" si="25"/>
        <v>13790.000000000013</v>
      </c>
      <c r="J390" s="204">
        <f t="shared" si="26"/>
        <v>165480.00000000015</v>
      </c>
      <c r="K390" s="204"/>
      <c r="L390" s="154"/>
    </row>
    <row r="391" spans="3:12" x14ac:dyDescent="0.2">
      <c r="C391" s="204">
        <v>1</v>
      </c>
      <c r="D391" s="205"/>
      <c r="E391" s="204">
        <v>2</v>
      </c>
      <c r="F391" s="204">
        <v>38</v>
      </c>
      <c r="G391" s="204">
        <f t="shared" si="23"/>
        <v>40</v>
      </c>
      <c r="H391" s="204">
        <f t="shared" si="24"/>
        <v>3859.8803827751231</v>
      </c>
      <c r="I391" s="204">
        <f t="shared" si="25"/>
        <v>12222.954545454557</v>
      </c>
      <c r="J391" s="204">
        <f t="shared" si="26"/>
        <v>146675.45454545468</v>
      </c>
      <c r="K391" s="204"/>
      <c r="L391" s="154"/>
    </row>
    <row r="392" spans="3:12" x14ac:dyDescent="0.2">
      <c r="C392" s="204">
        <v>1</v>
      </c>
      <c r="D392" s="205"/>
      <c r="E392" s="204">
        <v>1</v>
      </c>
      <c r="F392" s="204">
        <v>28</v>
      </c>
      <c r="G392" s="204">
        <f t="shared" si="23"/>
        <v>34</v>
      </c>
      <c r="H392" s="204">
        <f t="shared" si="24"/>
        <v>4163.8636363636406</v>
      </c>
      <c r="I392" s="204">
        <f t="shared" si="25"/>
        <v>9715.6818181818289</v>
      </c>
      <c r="J392" s="204">
        <f t="shared" si="26"/>
        <v>116588.18181818194</v>
      </c>
      <c r="K392" s="204"/>
      <c r="L392" s="154"/>
    </row>
    <row r="393" spans="3:12" x14ac:dyDescent="0.2">
      <c r="C393" s="204">
        <v>1</v>
      </c>
      <c r="D393" s="205"/>
      <c r="E393" s="204">
        <v>3</v>
      </c>
      <c r="F393" s="204">
        <v>53</v>
      </c>
      <c r="G393" s="204">
        <f t="shared" si="23"/>
        <v>44</v>
      </c>
      <c r="H393" s="204">
        <f t="shared" si="24"/>
        <v>3441.5866209262463</v>
      </c>
      <c r="I393" s="204">
        <f t="shared" si="25"/>
        <v>15200.340909090921</v>
      </c>
      <c r="J393" s="204">
        <f t="shared" si="26"/>
        <v>182404.09090909106</v>
      </c>
      <c r="K393" s="204"/>
      <c r="L393" s="154"/>
    </row>
    <row r="394" spans="3:12" x14ac:dyDescent="0.2">
      <c r="C394" s="204">
        <v>1</v>
      </c>
      <c r="D394" s="205"/>
      <c r="E394" s="204">
        <v>1</v>
      </c>
      <c r="F394" s="204">
        <v>26</v>
      </c>
      <c r="G394" s="204">
        <f t="shared" si="23"/>
        <v>34</v>
      </c>
      <c r="H394" s="204">
        <f t="shared" si="24"/>
        <v>4339.5104895104932</v>
      </c>
      <c r="I394" s="204">
        <f t="shared" si="25"/>
        <v>9402.2727272727352</v>
      </c>
      <c r="J394" s="204">
        <f t="shared" si="26"/>
        <v>112827.27272727282</v>
      </c>
      <c r="K394" s="204"/>
      <c r="L394" s="154"/>
    </row>
    <row r="395" spans="3:12" x14ac:dyDescent="0.2">
      <c r="C395" s="204">
        <v>1</v>
      </c>
      <c r="D395" s="205"/>
      <c r="E395" s="204">
        <v>1</v>
      </c>
      <c r="F395" s="204">
        <v>26</v>
      </c>
      <c r="G395" s="204">
        <f t="shared" si="23"/>
        <v>34</v>
      </c>
      <c r="H395" s="204">
        <f t="shared" si="24"/>
        <v>4339.5104895104932</v>
      </c>
      <c r="I395" s="204">
        <f t="shared" si="25"/>
        <v>9402.2727272727352</v>
      </c>
      <c r="J395" s="204">
        <f t="shared" si="26"/>
        <v>112827.27272727282</v>
      </c>
      <c r="K395" s="204"/>
      <c r="L395" s="154"/>
    </row>
    <row r="396" spans="3:12" x14ac:dyDescent="0.2">
      <c r="C396" s="204">
        <v>1</v>
      </c>
      <c r="D396" s="205"/>
      <c r="E396" s="204">
        <v>1</v>
      </c>
      <c r="F396" s="204">
        <v>26</v>
      </c>
      <c r="G396" s="204">
        <f t="shared" si="23"/>
        <v>34</v>
      </c>
      <c r="H396" s="204">
        <f t="shared" si="24"/>
        <v>4339.5104895104932</v>
      </c>
      <c r="I396" s="204">
        <f t="shared" si="25"/>
        <v>9402.2727272727352</v>
      </c>
      <c r="J396" s="204">
        <f t="shared" si="26"/>
        <v>112827.27272727282</v>
      </c>
      <c r="K396" s="204"/>
      <c r="L396" s="154"/>
    </row>
    <row r="397" spans="3:12" x14ac:dyDescent="0.2">
      <c r="C397" s="204">
        <v>1</v>
      </c>
      <c r="D397" s="205"/>
      <c r="E397" s="204">
        <v>2</v>
      </c>
      <c r="F397" s="204">
        <v>53</v>
      </c>
      <c r="G397" s="204">
        <f t="shared" si="23"/>
        <v>40</v>
      </c>
      <c r="H397" s="204">
        <f t="shared" si="24"/>
        <v>3299.6655231560921</v>
      </c>
      <c r="I397" s="204">
        <f t="shared" si="25"/>
        <v>14573.522727272741</v>
      </c>
      <c r="J397" s="204">
        <f t="shared" si="26"/>
        <v>174882.27272727288</v>
      </c>
      <c r="K397" s="204"/>
      <c r="L397" s="154"/>
    </row>
    <row r="398" spans="3:12" x14ac:dyDescent="0.2">
      <c r="C398" s="204">
        <v>1</v>
      </c>
      <c r="D398" s="205"/>
      <c r="E398" s="204">
        <v>2</v>
      </c>
      <c r="F398" s="204">
        <v>38</v>
      </c>
      <c r="G398" s="204">
        <f t="shared" si="23"/>
        <v>40</v>
      </c>
      <c r="H398" s="204">
        <f t="shared" si="24"/>
        <v>3859.8803827751231</v>
      </c>
      <c r="I398" s="204">
        <f t="shared" si="25"/>
        <v>12222.954545454557</v>
      </c>
      <c r="J398" s="204">
        <f t="shared" si="26"/>
        <v>146675.45454545468</v>
      </c>
      <c r="K398" s="204"/>
      <c r="L398" s="154"/>
    </row>
    <row r="399" spans="3:12" x14ac:dyDescent="0.2">
      <c r="C399" s="204">
        <v>1</v>
      </c>
      <c r="D399" s="205"/>
      <c r="E399" s="204">
        <v>1</v>
      </c>
      <c r="F399" s="204">
        <v>28</v>
      </c>
      <c r="G399" s="204">
        <f t="shared" si="23"/>
        <v>34</v>
      </c>
      <c r="H399" s="204">
        <f t="shared" si="24"/>
        <v>4163.8636363636406</v>
      </c>
      <c r="I399" s="204">
        <f t="shared" si="25"/>
        <v>9715.6818181818289</v>
      </c>
      <c r="J399" s="204">
        <f t="shared" si="26"/>
        <v>116588.18181818194</v>
      </c>
      <c r="K399" s="204"/>
      <c r="L399" s="154"/>
    </row>
    <row r="400" spans="3:12" x14ac:dyDescent="0.2">
      <c r="C400" s="204">
        <v>1</v>
      </c>
      <c r="D400" s="205"/>
      <c r="E400" s="204">
        <v>3</v>
      </c>
      <c r="F400" s="204">
        <v>53</v>
      </c>
      <c r="G400" s="204">
        <f t="shared" si="23"/>
        <v>44</v>
      </c>
      <c r="H400" s="204">
        <f t="shared" si="24"/>
        <v>3441.5866209262463</v>
      </c>
      <c r="I400" s="204">
        <f t="shared" si="25"/>
        <v>15200.340909090921</v>
      </c>
      <c r="J400" s="204">
        <f t="shared" si="26"/>
        <v>182404.09090909106</v>
      </c>
      <c r="K400" s="204"/>
      <c r="L400" s="154"/>
    </row>
    <row r="401" spans="3:12" x14ac:dyDescent="0.2">
      <c r="C401" s="204">
        <v>1</v>
      </c>
      <c r="D401" s="205"/>
      <c r="E401" s="204">
        <v>1</v>
      </c>
      <c r="F401" s="204">
        <v>26</v>
      </c>
      <c r="G401" s="204">
        <f t="shared" si="23"/>
        <v>34</v>
      </c>
      <c r="H401" s="204">
        <f t="shared" si="24"/>
        <v>4339.5104895104932</v>
      </c>
      <c r="I401" s="204">
        <f t="shared" si="25"/>
        <v>9402.2727272727352</v>
      </c>
      <c r="J401" s="204">
        <f t="shared" si="26"/>
        <v>112827.27272727282</v>
      </c>
      <c r="K401" s="204"/>
      <c r="L401" s="154"/>
    </row>
    <row r="402" spans="3:12" x14ac:dyDescent="0.2">
      <c r="C402" s="204">
        <v>1</v>
      </c>
      <c r="D402" s="205"/>
      <c r="E402" s="204">
        <v>1</v>
      </c>
      <c r="F402" s="204">
        <v>26</v>
      </c>
      <c r="G402" s="204">
        <f t="shared" si="23"/>
        <v>34</v>
      </c>
      <c r="H402" s="204">
        <f t="shared" si="24"/>
        <v>4339.5104895104932</v>
      </c>
      <c r="I402" s="204">
        <f t="shared" si="25"/>
        <v>9402.2727272727352</v>
      </c>
      <c r="J402" s="204">
        <f t="shared" si="26"/>
        <v>112827.27272727282</v>
      </c>
      <c r="K402" s="204"/>
      <c r="L402" s="154"/>
    </row>
    <row r="403" spans="3:12" x14ac:dyDescent="0.2">
      <c r="C403" s="204">
        <v>1</v>
      </c>
      <c r="D403" s="205"/>
      <c r="E403" s="204">
        <v>1</v>
      </c>
      <c r="F403" s="204">
        <v>26</v>
      </c>
      <c r="G403" s="204">
        <f t="shared" si="23"/>
        <v>34</v>
      </c>
      <c r="H403" s="204">
        <f t="shared" si="24"/>
        <v>4339.5104895104932</v>
      </c>
      <c r="I403" s="204">
        <f t="shared" si="25"/>
        <v>9402.2727272727352</v>
      </c>
      <c r="J403" s="204">
        <f t="shared" si="26"/>
        <v>112827.27272727282</v>
      </c>
      <c r="K403" s="204"/>
      <c r="L403" s="154"/>
    </row>
    <row r="404" spans="3:12" x14ac:dyDescent="0.2">
      <c r="C404" s="204">
        <v>1</v>
      </c>
      <c r="D404" s="205"/>
      <c r="E404" s="204">
        <v>2</v>
      </c>
      <c r="F404" s="204">
        <v>53</v>
      </c>
      <c r="G404" s="204">
        <f t="shared" si="23"/>
        <v>40</v>
      </c>
      <c r="H404" s="204">
        <f t="shared" si="24"/>
        <v>3299.6655231560921</v>
      </c>
      <c r="I404" s="204">
        <f t="shared" si="25"/>
        <v>14573.522727272741</v>
      </c>
      <c r="J404" s="204">
        <f t="shared" si="26"/>
        <v>174882.27272727288</v>
      </c>
      <c r="K404" s="204"/>
      <c r="L404" s="154"/>
    </row>
    <row r="405" spans="3:12" x14ac:dyDescent="0.2">
      <c r="C405" s="204">
        <v>1</v>
      </c>
      <c r="D405" s="205"/>
      <c r="E405" s="204">
        <v>2</v>
      </c>
      <c r="F405" s="204">
        <v>38</v>
      </c>
      <c r="G405" s="204">
        <f t="shared" si="23"/>
        <v>40</v>
      </c>
      <c r="H405" s="204">
        <f t="shared" si="24"/>
        <v>3859.8803827751231</v>
      </c>
      <c r="I405" s="204">
        <f t="shared" si="25"/>
        <v>12222.954545454557</v>
      </c>
      <c r="J405" s="204">
        <f t="shared" si="26"/>
        <v>146675.45454545468</v>
      </c>
      <c r="K405" s="204"/>
      <c r="L405" s="154"/>
    </row>
    <row r="406" spans="3:12" x14ac:dyDescent="0.2">
      <c r="C406" s="204">
        <v>1</v>
      </c>
      <c r="D406" s="205"/>
      <c r="E406" s="204">
        <v>1</v>
      </c>
      <c r="F406" s="204">
        <v>28</v>
      </c>
      <c r="G406" s="204">
        <f t="shared" si="23"/>
        <v>34</v>
      </c>
      <c r="H406" s="204">
        <f t="shared" si="24"/>
        <v>4163.8636363636406</v>
      </c>
      <c r="I406" s="204">
        <f t="shared" si="25"/>
        <v>9715.6818181818289</v>
      </c>
      <c r="J406" s="204">
        <f t="shared" si="26"/>
        <v>116588.18181818194</v>
      </c>
      <c r="K406" s="204"/>
      <c r="L406" s="154"/>
    </row>
    <row r="407" spans="3:12" x14ac:dyDescent="0.2">
      <c r="C407" s="204">
        <v>1</v>
      </c>
      <c r="D407" s="205"/>
      <c r="E407" s="204">
        <v>3</v>
      </c>
      <c r="F407" s="204">
        <v>53</v>
      </c>
      <c r="G407" s="204">
        <f t="shared" si="23"/>
        <v>44</v>
      </c>
      <c r="H407" s="204">
        <f t="shared" si="24"/>
        <v>3441.5866209262463</v>
      </c>
      <c r="I407" s="204">
        <f t="shared" si="25"/>
        <v>15200.340909090921</v>
      </c>
      <c r="J407" s="204">
        <f t="shared" si="26"/>
        <v>182404.09090909106</v>
      </c>
      <c r="K407" s="204"/>
      <c r="L407" s="154"/>
    </row>
    <row r="408" spans="3:12" x14ac:dyDescent="0.2">
      <c r="C408" s="204">
        <v>1</v>
      </c>
      <c r="D408" s="205"/>
      <c r="E408" s="204">
        <v>1</v>
      </c>
      <c r="F408" s="204">
        <v>26</v>
      </c>
      <c r="G408" s="204">
        <f t="shared" si="23"/>
        <v>34</v>
      </c>
      <c r="H408" s="204">
        <f t="shared" si="24"/>
        <v>4339.5104895104932</v>
      </c>
      <c r="I408" s="204">
        <f t="shared" si="25"/>
        <v>9402.2727272727352</v>
      </c>
      <c r="J408" s="204">
        <f t="shared" si="26"/>
        <v>112827.27272727282</v>
      </c>
      <c r="K408" s="204"/>
      <c r="L408" s="154"/>
    </row>
    <row r="409" spans="3:12" x14ac:dyDescent="0.2">
      <c r="C409" s="204">
        <v>1</v>
      </c>
      <c r="D409" s="205"/>
      <c r="E409" s="204">
        <v>1</v>
      </c>
      <c r="F409" s="204">
        <v>26</v>
      </c>
      <c r="G409" s="204">
        <f t="shared" si="23"/>
        <v>34</v>
      </c>
      <c r="H409" s="204">
        <f t="shared" si="24"/>
        <v>4339.5104895104932</v>
      </c>
      <c r="I409" s="204">
        <f t="shared" si="25"/>
        <v>9402.2727272727352</v>
      </c>
      <c r="J409" s="204">
        <f t="shared" si="26"/>
        <v>112827.27272727282</v>
      </c>
      <c r="K409" s="204"/>
      <c r="L409" s="154"/>
    </row>
    <row r="410" spans="3:12" x14ac:dyDescent="0.2">
      <c r="C410" s="204">
        <v>1</v>
      </c>
      <c r="D410" s="205"/>
      <c r="E410" s="204">
        <v>1</v>
      </c>
      <c r="F410" s="204">
        <v>26</v>
      </c>
      <c r="G410" s="204">
        <f t="shared" ref="G410:G426" si="27">IF(E410=1,34,IF(E410=2,40,IF(E410=3,44,IF(E410=4,49,IF(E410=5,52,IF(E410=6,55,IF(E410=1.5,27,IF(E410=2.5,34))))))))</f>
        <v>34</v>
      </c>
      <c r="H410" s="204">
        <f t="shared" ref="H410:H426" si="28">+$H$3*(F410+G410)/(1.57142857142857)/F410</f>
        <v>4339.5104895104932</v>
      </c>
      <c r="I410" s="204">
        <f t="shared" si="25"/>
        <v>9402.2727272727352</v>
      </c>
      <c r="J410" s="204">
        <f t="shared" si="26"/>
        <v>112827.27272727282</v>
      </c>
      <c r="K410" s="204"/>
      <c r="L410" s="154"/>
    </row>
    <row r="411" spans="3:12" x14ac:dyDescent="0.2">
      <c r="C411" s="204">
        <v>1</v>
      </c>
      <c r="D411" s="205"/>
      <c r="E411" s="204">
        <v>2</v>
      </c>
      <c r="F411" s="204">
        <v>53</v>
      </c>
      <c r="G411" s="204">
        <f t="shared" si="27"/>
        <v>40</v>
      </c>
      <c r="H411" s="204">
        <f t="shared" si="28"/>
        <v>3299.6655231560921</v>
      </c>
      <c r="I411" s="204">
        <f t="shared" ref="I411:I426" si="29">+F411*H411/12</f>
        <v>14573.522727272741</v>
      </c>
      <c r="J411" s="204">
        <f t="shared" ref="J411:J426" si="30">+I411*12</f>
        <v>174882.27272727288</v>
      </c>
      <c r="K411" s="204"/>
      <c r="L411" s="154"/>
    </row>
    <row r="412" spans="3:12" x14ac:dyDescent="0.2">
      <c r="C412" s="204">
        <v>1</v>
      </c>
      <c r="D412" s="205"/>
      <c r="E412" s="204">
        <v>2</v>
      </c>
      <c r="F412" s="204">
        <v>38</v>
      </c>
      <c r="G412" s="204">
        <f t="shared" si="27"/>
        <v>40</v>
      </c>
      <c r="H412" s="204">
        <f t="shared" si="28"/>
        <v>3859.8803827751231</v>
      </c>
      <c r="I412" s="204">
        <f t="shared" si="29"/>
        <v>12222.954545454557</v>
      </c>
      <c r="J412" s="204">
        <f t="shared" si="30"/>
        <v>146675.45454545468</v>
      </c>
      <c r="K412" s="204"/>
      <c r="L412" s="154"/>
    </row>
    <row r="413" spans="3:12" x14ac:dyDescent="0.2">
      <c r="C413" s="204">
        <v>1</v>
      </c>
      <c r="D413" s="205"/>
      <c r="E413" s="204">
        <v>1</v>
      </c>
      <c r="F413" s="204">
        <v>28</v>
      </c>
      <c r="G413" s="204">
        <f t="shared" si="27"/>
        <v>34</v>
      </c>
      <c r="H413" s="204">
        <f t="shared" si="28"/>
        <v>4163.8636363636406</v>
      </c>
      <c r="I413" s="204">
        <f t="shared" si="29"/>
        <v>9715.6818181818289</v>
      </c>
      <c r="J413" s="204">
        <f t="shared" si="30"/>
        <v>116588.18181818194</v>
      </c>
      <c r="K413" s="204"/>
      <c r="L413" s="154"/>
    </row>
    <row r="414" spans="3:12" x14ac:dyDescent="0.2">
      <c r="C414" s="204">
        <v>1</v>
      </c>
      <c r="D414" s="205"/>
      <c r="E414" s="204">
        <v>3</v>
      </c>
      <c r="F414" s="204">
        <v>53</v>
      </c>
      <c r="G414" s="204">
        <f t="shared" si="27"/>
        <v>44</v>
      </c>
      <c r="H414" s="204">
        <f t="shared" si="28"/>
        <v>3441.5866209262463</v>
      </c>
      <c r="I414" s="204">
        <f t="shared" si="29"/>
        <v>15200.340909090921</v>
      </c>
      <c r="J414" s="204">
        <f t="shared" si="30"/>
        <v>182404.09090909106</v>
      </c>
      <c r="K414" s="204"/>
      <c r="L414" s="154"/>
    </row>
    <row r="415" spans="3:12" x14ac:dyDescent="0.2">
      <c r="C415" s="204">
        <v>1</v>
      </c>
      <c r="D415" s="205"/>
      <c r="E415" s="204">
        <v>1</v>
      </c>
      <c r="F415" s="204">
        <v>26</v>
      </c>
      <c r="G415" s="204">
        <f t="shared" si="27"/>
        <v>34</v>
      </c>
      <c r="H415" s="204">
        <f t="shared" si="28"/>
        <v>4339.5104895104932</v>
      </c>
      <c r="I415" s="204">
        <f t="shared" si="29"/>
        <v>9402.2727272727352</v>
      </c>
      <c r="J415" s="204">
        <f t="shared" si="30"/>
        <v>112827.27272727282</v>
      </c>
      <c r="K415" s="204"/>
      <c r="L415" s="154"/>
    </row>
    <row r="416" spans="3:12" x14ac:dyDescent="0.2">
      <c r="C416" s="204">
        <v>1</v>
      </c>
      <c r="D416" s="205"/>
      <c r="E416" s="204">
        <v>1</v>
      </c>
      <c r="F416" s="204">
        <v>26</v>
      </c>
      <c r="G416" s="204">
        <f t="shared" si="27"/>
        <v>34</v>
      </c>
      <c r="H416" s="204">
        <f t="shared" si="28"/>
        <v>4339.5104895104932</v>
      </c>
      <c r="I416" s="204">
        <f t="shared" si="29"/>
        <v>9402.2727272727352</v>
      </c>
      <c r="J416" s="204">
        <f t="shared" si="30"/>
        <v>112827.27272727282</v>
      </c>
      <c r="K416" s="204"/>
      <c r="L416" s="154"/>
    </row>
    <row r="417" spans="3:12" x14ac:dyDescent="0.2">
      <c r="C417" s="204">
        <v>1</v>
      </c>
      <c r="D417" s="205"/>
      <c r="E417" s="204">
        <v>1</v>
      </c>
      <c r="F417" s="204">
        <v>26</v>
      </c>
      <c r="G417" s="204">
        <f t="shared" si="27"/>
        <v>34</v>
      </c>
      <c r="H417" s="204">
        <f t="shared" si="28"/>
        <v>4339.5104895104932</v>
      </c>
      <c r="I417" s="204">
        <f t="shared" si="29"/>
        <v>9402.2727272727352</v>
      </c>
      <c r="J417" s="204">
        <f t="shared" si="30"/>
        <v>112827.27272727282</v>
      </c>
      <c r="K417" s="204"/>
      <c r="L417" s="154"/>
    </row>
    <row r="418" spans="3:12" x14ac:dyDescent="0.2">
      <c r="C418" s="204">
        <v>1</v>
      </c>
      <c r="D418" s="205"/>
      <c r="E418" s="204">
        <v>2</v>
      </c>
      <c r="F418" s="204">
        <v>53</v>
      </c>
      <c r="G418" s="204">
        <f t="shared" si="27"/>
        <v>40</v>
      </c>
      <c r="H418" s="204">
        <f t="shared" si="28"/>
        <v>3299.6655231560921</v>
      </c>
      <c r="I418" s="204">
        <f t="shared" si="29"/>
        <v>14573.522727272741</v>
      </c>
      <c r="J418" s="204">
        <f t="shared" si="30"/>
        <v>174882.27272727288</v>
      </c>
      <c r="K418" s="204"/>
      <c r="L418" s="154"/>
    </row>
    <row r="419" spans="3:12" x14ac:dyDescent="0.2">
      <c r="C419" s="204">
        <v>1</v>
      </c>
      <c r="D419" s="205"/>
      <c r="E419" s="204">
        <v>1</v>
      </c>
      <c r="F419" s="204">
        <v>26</v>
      </c>
      <c r="G419" s="204">
        <f t="shared" si="27"/>
        <v>34</v>
      </c>
      <c r="H419" s="204">
        <f t="shared" si="28"/>
        <v>4339.5104895104932</v>
      </c>
      <c r="I419" s="204">
        <f t="shared" si="29"/>
        <v>9402.2727272727352</v>
      </c>
      <c r="J419" s="204">
        <f t="shared" si="30"/>
        <v>112827.27272727282</v>
      </c>
      <c r="K419" s="204"/>
      <c r="L419" s="154"/>
    </row>
    <row r="420" spans="3:12" x14ac:dyDescent="0.2">
      <c r="C420" s="204">
        <v>1</v>
      </c>
      <c r="D420" s="205"/>
      <c r="E420" s="204">
        <v>2</v>
      </c>
      <c r="F420" s="204">
        <v>48</v>
      </c>
      <c r="G420" s="204">
        <f t="shared" si="27"/>
        <v>40</v>
      </c>
      <c r="H420" s="204">
        <f t="shared" si="28"/>
        <v>3447.5000000000032</v>
      </c>
      <c r="I420" s="204">
        <f t="shared" si="29"/>
        <v>13790.000000000013</v>
      </c>
      <c r="J420" s="204">
        <f t="shared" si="30"/>
        <v>165480.00000000015</v>
      </c>
      <c r="K420" s="204"/>
      <c r="L420" s="154"/>
    </row>
    <row r="421" spans="3:12" x14ac:dyDescent="0.2">
      <c r="C421" s="204">
        <v>1</v>
      </c>
      <c r="D421" s="205"/>
      <c r="E421" s="204">
        <v>1</v>
      </c>
      <c r="F421" s="204">
        <v>26</v>
      </c>
      <c r="G421" s="204">
        <f t="shared" si="27"/>
        <v>34</v>
      </c>
      <c r="H421" s="204">
        <f t="shared" si="28"/>
        <v>4339.5104895104932</v>
      </c>
      <c r="I421" s="204">
        <f t="shared" si="29"/>
        <v>9402.2727272727352</v>
      </c>
      <c r="J421" s="204">
        <f t="shared" si="30"/>
        <v>112827.27272727282</v>
      </c>
      <c r="K421" s="204"/>
      <c r="L421" s="154"/>
    </row>
    <row r="422" spans="3:12" x14ac:dyDescent="0.2">
      <c r="C422" s="204">
        <v>1</v>
      </c>
      <c r="D422" s="205"/>
      <c r="E422" s="204">
        <v>1</v>
      </c>
      <c r="F422" s="204">
        <v>26</v>
      </c>
      <c r="G422" s="204">
        <f t="shared" si="27"/>
        <v>34</v>
      </c>
      <c r="H422" s="204">
        <f t="shared" si="28"/>
        <v>4339.5104895104932</v>
      </c>
      <c r="I422" s="204">
        <f t="shared" si="29"/>
        <v>9402.2727272727352</v>
      </c>
      <c r="J422" s="204">
        <f t="shared" si="30"/>
        <v>112827.27272727282</v>
      </c>
      <c r="K422" s="204"/>
      <c r="L422" s="154"/>
    </row>
    <row r="423" spans="3:12" x14ac:dyDescent="0.2">
      <c r="C423" s="204">
        <v>1</v>
      </c>
      <c r="D423" s="205"/>
      <c r="E423" s="204">
        <v>1</v>
      </c>
      <c r="F423" s="204">
        <v>26</v>
      </c>
      <c r="G423" s="204">
        <f t="shared" si="27"/>
        <v>34</v>
      </c>
      <c r="H423" s="204">
        <f t="shared" si="28"/>
        <v>4339.5104895104932</v>
      </c>
      <c r="I423" s="204">
        <f t="shared" si="29"/>
        <v>9402.2727272727352</v>
      </c>
      <c r="J423" s="204">
        <f t="shared" si="30"/>
        <v>112827.27272727282</v>
      </c>
      <c r="K423" s="204"/>
      <c r="L423" s="154"/>
    </row>
    <row r="424" spans="3:12" x14ac:dyDescent="0.2">
      <c r="C424" s="204">
        <v>1</v>
      </c>
      <c r="D424" s="205"/>
      <c r="E424" s="204">
        <v>2</v>
      </c>
      <c r="F424" s="204">
        <v>42</v>
      </c>
      <c r="G424" s="204">
        <f t="shared" si="27"/>
        <v>40</v>
      </c>
      <c r="H424" s="204">
        <f t="shared" si="28"/>
        <v>3671.3636363636392</v>
      </c>
      <c r="I424" s="204">
        <f t="shared" si="29"/>
        <v>12849.772727272737</v>
      </c>
      <c r="J424" s="204">
        <f t="shared" si="30"/>
        <v>154197.27272727285</v>
      </c>
      <c r="K424" s="204"/>
      <c r="L424" s="154"/>
    </row>
    <row r="425" spans="3:12" x14ac:dyDescent="0.2">
      <c r="C425" s="204">
        <v>1</v>
      </c>
      <c r="D425" s="205"/>
      <c r="E425" s="204">
        <v>3</v>
      </c>
      <c r="F425" s="204">
        <v>67</v>
      </c>
      <c r="G425" s="204">
        <f t="shared" si="27"/>
        <v>44</v>
      </c>
      <c r="H425" s="204">
        <f t="shared" si="28"/>
        <v>3115.3799185888765</v>
      </c>
      <c r="I425" s="204">
        <f t="shared" si="29"/>
        <v>17394.204545454562</v>
      </c>
      <c r="J425" s="204">
        <f t="shared" si="30"/>
        <v>208730.45454545476</v>
      </c>
      <c r="K425" s="204"/>
      <c r="L425" s="154"/>
    </row>
    <row r="426" spans="3:12" x14ac:dyDescent="0.2">
      <c r="C426" s="204">
        <v>1</v>
      </c>
      <c r="D426" s="205"/>
      <c r="E426" s="204">
        <v>5</v>
      </c>
      <c r="F426" s="204">
        <v>116</v>
      </c>
      <c r="G426" s="204">
        <f t="shared" si="27"/>
        <v>52</v>
      </c>
      <c r="H426" s="204">
        <f t="shared" si="28"/>
        <v>2723.4169278996892</v>
      </c>
      <c r="I426" s="204">
        <f t="shared" si="29"/>
        <v>26326.363636363661</v>
      </c>
      <c r="J426" s="204">
        <f t="shared" si="30"/>
        <v>315916.36363636394</v>
      </c>
      <c r="K426" s="204"/>
      <c r="L426" s="154"/>
    </row>
  </sheetData>
  <mergeCells count="1">
    <mergeCell ref="C23:J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7B54-1683-4814-9A8B-C8FEF00B5E74}">
  <sheetPr>
    <tabColor rgb="FF92D050"/>
  </sheetPr>
  <dimension ref="B1:G203"/>
  <sheetViews>
    <sheetView showGridLines="0" topLeftCell="A113" zoomScale="85" zoomScaleNormal="85" workbookViewId="0">
      <selection activeCell="C17" sqref="C17"/>
    </sheetView>
  </sheetViews>
  <sheetFormatPr defaultRowHeight="12.75" x14ac:dyDescent="0.2"/>
  <cols>
    <col min="1" max="1" width="2.5703125" customWidth="1"/>
    <col min="2" max="2" width="62.85546875" customWidth="1"/>
    <col min="3" max="4" width="25.85546875" customWidth="1"/>
    <col min="5" max="5" width="15.5703125" customWidth="1"/>
    <col min="7" max="7" width="11.85546875" bestFit="1" customWidth="1"/>
  </cols>
  <sheetData>
    <row r="1" spans="2:5" ht="13.5" thickBot="1" x14ac:dyDescent="0.25"/>
    <row r="2" spans="2:5" x14ac:dyDescent="0.2">
      <c r="B2" s="1" t="s">
        <v>76</v>
      </c>
      <c r="C2" s="15"/>
    </row>
    <row r="3" spans="2:5" x14ac:dyDescent="0.2">
      <c r="B3" s="2" t="s">
        <v>77</v>
      </c>
      <c r="C3" s="55" t="s">
        <v>78</v>
      </c>
    </row>
    <row r="4" spans="2:5" x14ac:dyDescent="0.2">
      <c r="B4" s="2" t="s">
        <v>79</v>
      </c>
      <c r="C4" s="55" t="s">
        <v>80</v>
      </c>
    </row>
    <row r="5" spans="2:5" x14ac:dyDescent="0.2">
      <c r="B5" s="2" t="s">
        <v>81</v>
      </c>
      <c r="C5" s="55" t="s">
        <v>82</v>
      </c>
    </row>
    <row r="6" spans="2:5" x14ac:dyDescent="0.2">
      <c r="B6" s="2" t="s">
        <v>83</v>
      </c>
      <c r="C6" s="55" t="s">
        <v>84</v>
      </c>
    </row>
    <row r="7" spans="2:5" x14ac:dyDescent="0.2">
      <c r="B7" s="2" t="s">
        <v>85</v>
      </c>
      <c r="C7" s="55" t="s">
        <v>86</v>
      </c>
    </row>
    <row r="8" spans="2:5" x14ac:dyDescent="0.2">
      <c r="B8" s="2" t="s">
        <v>87</v>
      </c>
      <c r="C8" s="55" t="s">
        <v>88</v>
      </c>
    </row>
    <row r="9" spans="2:5" x14ac:dyDescent="0.2">
      <c r="B9" s="2" t="s">
        <v>89</v>
      </c>
      <c r="C9" s="55" t="s">
        <v>90</v>
      </c>
    </row>
    <row r="10" spans="2:5" ht="13.5" thickBot="1" x14ac:dyDescent="0.25">
      <c r="B10" s="4" t="s">
        <v>91</v>
      </c>
      <c r="C10" s="81">
        <v>1</v>
      </c>
    </row>
    <row r="12" spans="2:5" ht="13.5" thickBot="1" x14ac:dyDescent="0.25"/>
    <row r="13" spans="2:5" x14ac:dyDescent="0.2">
      <c r="B13" s="1" t="s">
        <v>92</v>
      </c>
      <c r="C13" s="7"/>
    </row>
    <row r="14" spans="2:5" x14ac:dyDescent="0.2">
      <c r="B14" s="17" t="s">
        <v>93</v>
      </c>
      <c r="C14" s="60">
        <f>52500+103828</f>
        <v>156328</v>
      </c>
    </row>
    <row r="15" spans="2:5" x14ac:dyDescent="0.2">
      <c r="B15" s="2"/>
      <c r="C15" s="14"/>
      <c r="D15" s="59"/>
      <c r="E15" s="59"/>
    </row>
    <row r="16" spans="2:5" x14ac:dyDescent="0.2">
      <c r="B16" s="2" t="s">
        <v>94</v>
      </c>
      <c r="C16" s="14">
        <v>0</v>
      </c>
      <c r="D16" s="56"/>
      <c r="E16" s="56"/>
    </row>
    <row r="17" spans="2:5" x14ac:dyDescent="0.2">
      <c r="B17" s="2" t="s">
        <v>95</v>
      </c>
      <c r="C17" s="14">
        <f>29985+12442.5+9780+5400</f>
        <v>57607.5</v>
      </c>
      <c r="D17" s="56"/>
      <c r="E17" s="56"/>
    </row>
    <row r="18" spans="2:5" x14ac:dyDescent="0.2">
      <c r="B18" s="2" t="s">
        <v>96</v>
      </c>
      <c r="C18" s="14">
        <v>0</v>
      </c>
      <c r="D18" s="56"/>
      <c r="E18" s="56"/>
    </row>
    <row r="19" spans="2:5" x14ac:dyDescent="0.2">
      <c r="B19" s="2" t="s">
        <v>97</v>
      </c>
      <c r="C19" s="14">
        <v>0</v>
      </c>
      <c r="D19" s="56"/>
      <c r="E19" s="56"/>
    </row>
    <row r="20" spans="2:5" x14ac:dyDescent="0.2">
      <c r="B20" s="2" t="s">
        <v>98</v>
      </c>
      <c r="C20" s="14">
        <v>3505</v>
      </c>
    </row>
    <row r="21" spans="2:5" x14ac:dyDescent="0.2">
      <c r="B21" s="3" t="s">
        <v>99</v>
      </c>
      <c r="C21" s="8">
        <v>5200</v>
      </c>
    </row>
    <row r="22" spans="2:5" x14ac:dyDescent="0.2">
      <c r="B22" s="5" t="s">
        <v>100</v>
      </c>
      <c r="C22" s="32">
        <f>SUM(C16:C21)</f>
        <v>66312.5</v>
      </c>
      <c r="D22" s="56"/>
      <c r="E22" s="56"/>
    </row>
    <row r="23" spans="2:5" x14ac:dyDescent="0.2">
      <c r="B23" s="3" t="s">
        <v>101</v>
      </c>
      <c r="C23" s="119">
        <v>5100</v>
      </c>
    </row>
    <row r="24" spans="2:5" x14ac:dyDescent="0.2">
      <c r="B24" s="5" t="s">
        <v>102</v>
      </c>
      <c r="C24" s="11">
        <f>C22+C23</f>
        <v>71412.5</v>
      </c>
    </row>
    <row r="25" spans="2:5" x14ac:dyDescent="0.2">
      <c r="B25" s="2"/>
      <c r="C25" s="9"/>
    </row>
    <row r="26" spans="2:5" x14ac:dyDescent="0.2">
      <c r="B26" s="2" t="s">
        <v>103</v>
      </c>
      <c r="C26" s="53">
        <v>0.77</v>
      </c>
    </row>
    <row r="27" spans="2:5" x14ac:dyDescent="0.2">
      <c r="B27" s="2" t="s">
        <v>104</v>
      </c>
      <c r="C27" s="53">
        <v>0.9</v>
      </c>
    </row>
    <row r="28" spans="2:5" x14ac:dyDescent="0.2">
      <c r="B28" s="2" t="s">
        <v>105</v>
      </c>
      <c r="C28" s="53">
        <v>0.8</v>
      </c>
    </row>
    <row r="29" spans="2:5" x14ac:dyDescent="0.2">
      <c r="B29" s="2" t="s">
        <v>106</v>
      </c>
      <c r="C29" s="10">
        <f>(C32+C33+C34+C35+C36+C37)/C24</f>
        <v>0.71648205846315427</v>
      </c>
    </row>
    <row r="30" spans="2:5" x14ac:dyDescent="0.2">
      <c r="B30" s="2"/>
      <c r="C30" s="9"/>
    </row>
    <row r="31" spans="2:5" x14ac:dyDescent="0.2">
      <c r="B31" s="2" t="s">
        <v>41</v>
      </c>
      <c r="C31" s="14">
        <v>1430</v>
      </c>
    </row>
    <row r="32" spans="2:5" x14ac:dyDescent="0.2">
      <c r="B32" s="2" t="s">
        <v>42</v>
      </c>
      <c r="C32" s="52">
        <f>C26*C16</f>
        <v>0</v>
      </c>
    </row>
    <row r="33" spans="2:4" x14ac:dyDescent="0.2">
      <c r="B33" s="2" t="s">
        <v>43</v>
      </c>
      <c r="C33" s="52">
        <f>C26*C17</f>
        <v>44357.775000000001</v>
      </c>
    </row>
    <row r="34" spans="2:4" x14ac:dyDescent="0.2">
      <c r="B34" s="2" t="s">
        <v>44</v>
      </c>
      <c r="C34" s="52">
        <f>C27*C18</f>
        <v>0</v>
      </c>
    </row>
    <row r="35" spans="2:4" x14ac:dyDescent="0.2">
      <c r="B35" s="2" t="s">
        <v>45</v>
      </c>
      <c r="C35" s="52">
        <f>C27*C19</f>
        <v>0</v>
      </c>
    </row>
    <row r="36" spans="2:4" x14ac:dyDescent="0.2">
      <c r="B36" s="2" t="s">
        <v>46</v>
      </c>
      <c r="C36" s="52">
        <f>C28*C20</f>
        <v>2804</v>
      </c>
    </row>
    <row r="37" spans="2:4" x14ac:dyDescent="0.2">
      <c r="B37" s="3" t="s">
        <v>47</v>
      </c>
      <c r="C37" s="78">
        <f>C26*C21</f>
        <v>4004</v>
      </c>
    </row>
    <row r="38" spans="2:4" ht="13.5" thickBot="1" x14ac:dyDescent="0.25">
      <c r="B38" s="6" t="s">
        <v>107</v>
      </c>
      <c r="C38" s="79">
        <f>SUM(C32:C37)</f>
        <v>51165.775000000001</v>
      </c>
    </row>
    <row r="40" spans="2:4" ht="13.5" thickBot="1" x14ac:dyDescent="0.25"/>
    <row r="41" spans="2:4" x14ac:dyDescent="0.2">
      <c r="B41" s="1" t="s">
        <v>108</v>
      </c>
      <c r="C41" s="25"/>
      <c r="D41" s="18" t="s">
        <v>109</v>
      </c>
    </row>
    <row r="42" spans="2:4" x14ac:dyDescent="0.2">
      <c r="B42" s="43" t="s">
        <v>110</v>
      </c>
      <c r="C42" s="49"/>
      <c r="D42" s="54"/>
    </row>
    <row r="43" spans="2:4" x14ac:dyDescent="0.2">
      <c r="B43" s="2" t="s">
        <v>51</v>
      </c>
      <c r="C43" s="28">
        <f>25000000+(6625*20000)</f>
        <v>157500000</v>
      </c>
      <c r="D43" s="24">
        <f>C43</f>
        <v>157500000</v>
      </c>
    </row>
    <row r="44" spans="2:4" x14ac:dyDescent="0.2">
      <c r="B44" s="2" t="s">
        <v>52</v>
      </c>
      <c r="C44" s="28">
        <v>282269673.85000002</v>
      </c>
      <c r="D44" s="24">
        <f>C44</f>
        <v>282269673.85000002</v>
      </c>
    </row>
    <row r="45" spans="2:4" x14ac:dyDescent="0.2">
      <c r="B45" s="2" t="s">
        <v>111</v>
      </c>
      <c r="C45" s="57">
        <v>5700</v>
      </c>
      <c r="D45" s="24">
        <f>C45*(C16+C17+C18+C19)</f>
        <v>328362750</v>
      </c>
    </row>
    <row r="46" spans="2:4" x14ac:dyDescent="0.2">
      <c r="B46" s="2" t="s">
        <v>112</v>
      </c>
      <c r="C46" s="57">
        <v>2500</v>
      </c>
      <c r="D46" s="24">
        <f>C46*C20</f>
        <v>8762500</v>
      </c>
    </row>
    <row r="47" spans="2:4" x14ac:dyDescent="0.2">
      <c r="B47" s="2" t="s">
        <v>113</v>
      </c>
      <c r="C47" s="57">
        <v>7880</v>
      </c>
      <c r="D47" s="24">
        <f>C47*C21</f>
        <v>40976000</v>
      </c>
    </row>
    <row r="48" spans="2:4" x14ac:dyDescent="0.2">
      <c r="B48" s="37" t="s">
        <v>114</v>
      </c>
      <c r="C48" s="27">
        <v>1.4999999999999999E-2</v>
      </c>
      <c r="D48" s="24">
        <f>C48*(D43+D44)</f>
        <v>6596545.1077500004</v>
      </c>
    </row>
    <row r="49" spans="2:5" x14ac:dyDescent="0.2">
      <c r="B49" s="147" t="s">
        <v>115</v>
      </c>
      <c r="C49" s="41">
        <v>0.02</v>
      </c>
      <c r="D49" s="20">
        <f>C49*(D43+D44)</f>
        <v>8795393.477</v>
      </c>
    </row>
    <row r="50" spans="2:5" x14ac:dyDescent="0.2">
      <c r="B50" s="5" t="s">
        <v>59</v>
      </c>
      <c r="C50" s="27"/>
      <c r="D50" s="34">
        <f>D43+D44+D48+D49</f>
        <v>455161612.43475002</v>
      </c>
    </row>
    <row r="51" spans="2:5" x14ac:dyDescent="0.2">
      <c r="B51" s="2"/>
      <c r="C51" s="38"/>
      <c r="D51" s="39"/>
    </row>
    <row r="52" spans="2:5" x14ac:dyDescent="0.2">
      <c r="B52" s="43" t="s">
        <v>116</v>
      </c>
      <c r="C52" s="38"/>
      <c r="D52" s="39"/>
    </row>
    <row r="53" spans="2:5" x14ac:dyDescent="0.2">
      <c r="B53" s="37" t="s">
        <v>117</v>
      </c>
      <c r="C53" s="28">
        <v>1500000</v>
      </c>
      <c r="D53" s="24">
        <f>C53</f>
        <v>1500000</v>
      </c>
    </row>
    <row r="54" spans="2:5" x14ac:dyDescent="0.2">
      <c r="B54" s="37" t="s">
        <v>118</v>
      </c>
      <c r="C54" s="28">
        <v>50000000</v>
      </c>
      <c r="D54" s="24">
        <f>C54</f>
        <v>50000000</v>
      </c>
    </row>
    <row r="55" spans="2:5" x14ac:dyDescent="0.2">
      <c r="B55" s="37" t="s">
        <v>119</v>
      </c>
      <c r="C55" s="28">
        <v>1500000</v>
      </c>
      <c r="D55" s="24">
        <f>C55</f>
        <v>1500000</v>
      </c>
    </row>
    <row r="56" spans="2:5" x14ac:dyDescent="0.2">
      <c r="B56" s="3" t="s">
        <v>120</v>
      </c>
      <c r="C56" s="42">
        <v>120000000</v>
      </c>
      <c r="D56" s="20">
        <f>C56</f>
        <v>120000000</v>
      </c>
    </row>
    <row r="57" spans="2:5" x14ac:dyDescent="0.2">
      <c r="B57" s="5" t="s">
        <v>121</v>
      </c>
      <c r="C57" s="38"/>
      <c r="D57" s="34">
        <f>SUM(D53:D56)</f>
        <v>173000000</v>
      </c>
    </row>
    <row r="58" spans="2:5" x14ac:dyDescent="0.2">
      <c r="B58" s="2"/>
      <c r="C58" s="38"/>
      <c r="D58" s="39"/>
    </row>
    <row r="59" spans="2:5" x14ac:dyDescent="0.2">
      <c r="B59" s="43" t="s">
        <v>122</v>
      </c>
      <c r="C59" s="38"/>
      <c r="D59" s="39"/>
    </row>
    <row r="60" spans="2:5" x14ac:dyDescent="0.2">
      <c r="B60" s="2" t="s">
        <v>123</v>
      </c>
      <c r="C60" s="57">
        <v>0</v>
      </c>
      <c r="D60" s="24">
        <f>C60*$C$22</f>
        <v>0</v>
      </c>
    </row>
    <row r="61" spans="2:5" x14ac:dyDescent="0.2">
      <c r="B61" s="2" t="s">
        <v>124</v>
      </c>
      <c r="C61" s="57">
        <v>150</v>
      </c>
      <c r="D61" s="24">
        <f>C61*$C$22</f>
        <v>9946875</v>
      </c>
    </row>
    <row r="62" spans="2:5" x14ac:dyDescent="0.2">
      <c r="B62" s="2" t="s">
        <v>125</v>
      </c>
      <c r="C62" s="57">
        <v>150</v>
      </c>
      <c r="D62" s="24">
        <f>C62*$C$22</f>
        <v>9946875</v>
      </c>
    </row>
    <row r="63" spans="2:5" x14ac:dyDescent="0.2">
      <c r="B63" s="3" t="s">
        <v>126</v>
      </c>
      <c r="C63" s="58">
        <v>0</v>
      </c>
      <c r="D63" s="20">
        <f>C63</f>
        <v>0</v>
      </c>
      <c r="E63" s="149" t="s">
        <v>127</v>
      </c>
    </row>
    <row r="64" spans="2:5" x14ac:dyDescent="0.2">
      <c r="B64" s="5" t="s">
        <v>128</v>
      </c>
      <c r="C64" s="26"/>
      <c r="D64" s="34">
        <f>SUM(D60:D63)</f>
        <v>19893750</v>
      </c>
      <c r="E64" s="150">
        <f>D64*1.25</f>
        <v>24867187.5</v>
      </c>
    </row>
    <row r="65" spans="2:7" x14ac:dyDescent="0.2">
      <c r="B65" s="2"/>
      <c r="C65" s="38"/>
      <c r="D65" s="39"/>
    </row>
    <row r="66" spans="2:7" x14ac:dyDescent="0.2">
      <c r="B66" s="43" t="s">
        <v>129</v>
      </c>
      <c r="C66" s="40"/>
      <c r="D66" s="39"/>
    </row>
    <row r="67" spans="2:7" x14ac:dyDescent="0.2">
      <c r="B67" s="2" t="s">
        <v>130</v>
      </c>
      <c r="C67" s="28">
        <v>0</v>
      </c>
      <c r="D67" s="24">
        <f>C67</f>
        <v>0</v>
      </c>
    </row>
    <row r="68" spans="2:7" x14ac:dyDescent="0.2">
      <c r="B68" s="3" t="s">
        <v>131</v>
      </c>
      <c r="C68" s="42">
        <v>5000000</v>
      </c>
      <c r="D68" s="20">
        <f>C68</f>
        <v>5000000</v>
      </c>
    </row>
    <row r="69" spans="2:7" x14ac:dyDescent="0.2">
      <c r="B69" s="5" t="s">
        <v>132</v>
      </c>
      <c r="C69" s="28"/>
      <c r="D69" s="34">
        <f>SUM(D67:D68)</f>
        <v>5000000</v>
      </c>
    </row>
    <row r="70" spans="2:7" x14ac:dyDescent="0.2">
      <c r="B70" s="2"/>
      <c r="C70" s="40"/>
      <c r="D70" s="39"/>
    </row>
    <row r="71" spans="2:7" x14ac:dyDescent="0.2">
      <c r="B71" s="43" t="s">
        <v>133</v>
      </c>
      <c r="C71" s="40"/>
      <c r="D71" s="39"/>
      <c r="E71" s="149" t="s">
        <v>209</v>
      </c>
      <c r="G71" s="149" t="s">
        <v>210</v>
      </c>
    </row>
    <row r="72" spans="2:7" x14ac:dyDescent="0.2">
      <c r="B72" s="2" t="s">
        <v>208</v>
      </c>
      <c r="C72" s="57">
        <v>140000000</v>
      </c>
      <c r="D72" s="24">
        <f>C72</f>
        <v>140000000</v>
      </c>
      <c r="E72" s="150">
        <f>D72*1.05</f>
        <v>147000000</v>
      </c>
      <c r="G72" s="150">
        <f>E72*1.25</f>
        <v>183750000</v>
      </c>
    </row>
    <row r="73" spans="2:7" x14ac:dyDescent="0.2">
      <c r="B73" s="2" t="s">
        <v>212</v>
      </c>
      <c r="C73" s="57">
        <v>22000</v>
      </c>
      <c r="D73" s="24">
        <f>C73*'Rent roll and financial info'!D4</f>
        <v>512270000</v>
      </c>
      <c r="E73" s="150">
        <f>D73</f>
        <v>512270000</v>
      </c>
      <c r="G73" s="150">
        <f t="shared" ref="G73:G82" si="0">E73*1.25</f>
        <v>640337500</v>
      </c>
    </row>
    <row r="74" spans="2:7" x14ac:dyDescent="0.2">
      <c r="B74" s="2" t="s">
        <v>213</v>
      </c>
      <c r="C74" s="57">
        <v>22000</v>
      </c>
      <c r="D74" s="24">
        <f>C74*'Rent roll and financial info'!D5</f>
        <v>0</v>
      </c>
      <c r="E74" s="150">
        <f t="shared" ref="E74:E82" si="1">D74</f>
        <v>0</v>
      </c>
      <c r="G74" s="150">
        <f t="shared" si="0"/>
        <v>0</v>
      </c>
    </row>
    <row r="75" spans="2:7" x14ac:dyDescent="0.2">
      <c r="B75" s="2" t="s">
        <v>214</v>
      </c>
      <c r="C75" s="57">
        <v>22000</v>
      </c>
      <c r="D75" s="24">
        <f>C75*'Rent roll and financial info'!D6</f>
        <v>0</v>
      </c>
      <c r="E75" s="150">
        <f t="shared" si="1"/>
        <v>0</v>
      </c>
      <c r="G75" s="150">
        <f t="shared" si="0"/>
        <v>0</v>
      </c>
    </row>
    <row r="76" spans="2:7" x14ac:dyDescent="0.2">
      <c r="B76" s="2" t="s">
        <v>215</v>
      </c>
      <c r="C76" s="57">
        <v>22000</v>
      </c>
      <c r="D76" s="24">
        <f>C76*'Rent roll and financial info'!D7</f>
        <v>0</v>
      </c>
      <c r="E76" s="150">
        <f t="shared" si="1"/>
        <v>0</v>
      </c>
      <c r="G76" s="150">
        <f t="shared" si="0"/>
        <v>0</v>
      </c>
    </row>
    <row r="77" spans="2:7" x14ac:dyDescent="0.2">
      <c r="B77" s="2" t="s">
        <v>216</v>
      </c>
      <c r="C77" s="57">
        <v>22000</v>
      </c>
      <c r="D77" s="24">
        <f>C77*'Rent roll and financial info'!D8</f>
        <v>0</v>
      </c>
      <c r="E77" s="150">
        <f t="shared" si="1"/>
        <v>0</v>
      </c>
      <c r="G77" s="150">
        <f t="shared" si="0"/>
        <v>0</v>
      </c>
    </row>
    <row r="78" spans="2:7" x14ac:dyDescent="0.2">
      <c r="B78" s="2" t="s">
        <v>217</v>
      </c>
      <c r="C78" s="57">
        <v>22000</v>
      </c>
      <c r="D78" s="24">
        <f>C78*'Rent roll and financial info'!D9</f>
        <v>0</v>
      </c>
      <c r="E78" s="150">
        <f t="shared" si="1"/>
        <v>0</v>
      </c>
      <c r="G78" s="150">
        <f t="shared" si="0"/>
        <v>0</v>
      </c>
    </row>
    <row r="79" spans="2:7" x14ac:dyDescent="0.2">
      <c r="B79" s="2" t="s">
        <v>218</v>
      </c>
      <c r="C79" s="57">
        <v>22000</v>
      </c>
      <c r="D79" s="24">
        <f>C79*'Rent roll and financial info'!D10</f>
        <v>0</v>
      </c>
      <c r="E79" s="150">
        <f t="shared" si="1"/>
        <v>0</v>
      </c>
      <c r="G79" s="150">
        <f t="shared" si="0"/>
        <v>0</v>
      </c>
    </row>
    <row r="80" spans="2:7" x14ac:dyDescent="0.2">
      <c r="B80" s="2" t="s">
        <v>219</v>
      </c>
      <c r="C80" s="57">
        <v>22000</v>
      </c>
      <c r="D80" s="24">
        <f>C80*'Rent roll and financial info'!D11</f>
        <v>0</v>
      </c>
      <c r="E80" s="150">
        <f t="shared" si="1"/>
        <v>0</v>
      </c>
      <c r="G80" s="150">
        <f t="shared" si="0"/>
        <v>0</v>
      </c>
    </row>
    <row r="81" spans="2:7" x14ac:dyDescent="0.2">
      <c r="B81" s="2" t="s">
        <v>220</v>
      </c>
      <c r="C81" s="57">
        <v>22000</v>
      </c>
      <c r="D81" s="24">
        <f>C81*'Rent roll and financial info'!D12</f>
        <v>0</v>
      </c>
      <c r="E81" s="150">
        <f t="shared" si="1"/>
        <v>0</v>
      </c>
      <c r="G81" s="150">
        <f t="shared" si="0"/>
        <v>0</v>
      </c>
    </row>
    <row r="82" spans="2:7" x14ac:dyDescent="0.2">
      <c r="B82" s="2" t="s">
        <v>221</v>
      </c>
      <c r="C82" s="57">
        <v>22000</v>
      </c>
      <c r="D82" s="24">
        <f>C82*'Rent roll and financial info'!D13</f>
        <v>0</v>
      </c>
      <c r="E82" s="150">
        <f t="shared" si="1"/>
        <v>0</v>
      </c>
      <c r="G82" s="150">
        <f t="shared" si="0"/>
        <v>0</v>
      </c>
    </row>
    <row r="83" spans="2:7" x14ac:dyDescent="0.2">
      <c r="B83" s="2" t="s">
        <v>222</v>
      </c>
      <c r="C83" s="57"/>
      <c r="D83" s="24"/>
      <c r="E83" s="150"/>
      <c r="G83" s="150"/>
    </row>
    <row r="84" spans="2:7" x14ac:dyDescent="0.2">
      <c r="B84" s="2" t="s">
        <v>223</v>
      </c>
      <c r="C84" s="57">
        <v>5000</v>
      </c>
      <c r="D84" s="24"/>
      <c r="E84" s="150"/>
      <c r="G84" s="150"/>
    </row>
    <row r="85" spans="2:7" x14ac:dyDescent="0.2">
      <c r="B85" s="2" t="s">
        <v>224</v>
      </c>
      <c r="C85" s="57">
        <v>22000</v>
      </c>
      <c r="D85" s="24"/>
      <c r="E85" s="150"/>
      <c r="G85" s="150"/>
    </row>
    <row r="86" spans="2:7" x14ac:dyDescent="0.2">
      <c r="B86" s="3" t="s">
        <v>211</v>
      </c>
      <c r="C86" s="30">
        <v>0.05</v>
      </c>
      <c r="D86" s="20">
        <f>C86*D72</f>
        <v>7000000</v>
      </c>
      <c r="E86" s="150">
        <f>SUM(E73:E82)</f>
        <v>512270000</v>
      </c>
      <c r="G86" s="150"/>
    </row>
    <row r="87" spans="2:7" x14ac:dyDescent="0.2">
      <c r="B87" s="5" t="s">
        <v>134</v>
      </c>
      <c r="C87" s="40"/>
      <c r="D87" s="34">
        <f>SUM(D73:D86)</f>
        <v>519270000</v>
      </c>
      <c r="E87" s="150">
        <f>D87*1.25</f>
        <v>649087500</v>
      </c>
      <c r="G87" s="150"/>
    </row>
    <row r="88" spans="2:7" x14ac:dyDescent="0.2">
      <c r="B88" s="2"/>
      <c r="C88" s="40"/>
      <c r="D88" s="39"/>
    </row>
    <row r="89" spans="2:7" x14ac:dyDescent="0.2">
      <c r="B89" s="43" t="s">
        <v>135</v>
      </c>
      <c r="C89" s="40"/>
      <c r="D89" s="39"/>
    </row>
    <row r="90" spans="2:7" x14ac:dyDescent="0.2">
      <c r="B90" s="37" t="s">
        <v>136</v>
      </c>
      <c r="C90" s="28">
        <v>20000000</v>
      </c>
      <c r="D90" s="24">
        <f>C90</f>
        <v>20000000</v>
      </c>
    </row>
    <row r="91" spans="2:7" x14ac:dyDescent="0.2">
      <c r="B91" s="37" t="s">
        <v>137</v>
      </c>
      <c r="C91" s="28">
        <v>2000000</v>
      </c>
      <c r="D91" s="24">
        <f>C91</f>
        <v>2000000</v>
      </c>
    </row>
    <row r="92" spans="2:7" x14ac:dyDescent="0.2">
      <c r="B92" s="80" t="s">
        <v>138</v>
      </c>
      <c r="C92" s="42">
        <v>1000000</v>
      </c>
      <c r="D92" s="20">
        <f>C92</f>
        <v>1000000</v>
      </c>
      <c r="E92" s="149" t="s">
        <v>127</v>
      </c>
    </row>
    <row r="93" spans="2:7" x14ac:dyDescent="0.2">
      <c r="B93" s="5" t="s">
        <v>139</v>
      </c>
      <c r="C93" s="28"/>
      <c r="D93" s="34">
        <f>SUM(D90:D92)</f>
        <v>23000000</v>
      </c>
      <c r="E93" s="150">
        <f>D93*1.25</f>
        <v>28750000</v>
      </c>
    </row>
    <row r="94" spans="2:7" x14ac:dyDescent="0.2">
      <c r="B94" s="2"/>
      <c r="C94" s="40"/>
      <c r="D94" s="39"/>
    </row>
    <row r="95" spans="2:7" x14ac:dyDescent="0.2">
      <c r="B95" s="43" t="s">
        <v>140</v>
      </c>
      <c r="C95" s="40"/>
      <c r="D95" s="39"/>
    </row>
    <row r="96" spans="2:7" x14ac:dyDescent="0.2">
      <c r="B96" s="2" t="s">
        <v>141</v>
      </c>
      <c r="C96" s="28">
        <v>0</v>
      </c>
      <c r="D96" s="24">
        <f>C96</f>
        <v>0</v>
      </c>
    </row>
    <row r="97" spans="2:4" x14ac:dyDescent="0.2">
      <c r="B97" s="2" t="s">
        <v>142</v>
      </c>
      <c r="C97" s="28">
        <v>0</v>
      </c>
      <c r="D97" s="24">
        <f>C97</f>
        <v>0</v>
      </c>
    </row>
    <row r="98" spans="2:4" x14ac:dyDescent="0.2">
      <c r="B98" s="3" t="s">
        <v>143</v>
      </c>
      <c r="C98" s="42">
        <v>0</v>
      </c>
      <c r="D98" s="20">
        <f>C98</f>
        <v>0</v>
      </c>
    </row>
    <row r="99" spans="2:4" x14ac:dyDescent="0.2">
      <c r="B99" s="5" t="s">
        <v>144</v>
      </c>
      <c r="C99" s="28"/>
      <c r="D99" s="34">
        <f>SUM(D96:D98)</f>
        <v>0</v>
      </c>
    </row>
    <row r="100" spans="2:4" x14ac:dyDescent="0.2">
      <c r="B100" s="2"/>
      <c r="C100" s="40"/>
      <c r="D100" s="39"/>
    </row>
    <row r="101" spans="2:4" x14ac:dyDescent="0.2">
      <c r="B101" s="43" t="s">
        <v>145</v>
      </c>
      <c r="C101" s="40"/>
      <c r="D101" s="39"/>
    </row>
    <row r="102" spans="2:4" x14ac:dyDescent="0.2">
      <c r="B102" s="2" t="s">
        <v>145</v>
      </c>
      <c r="C102" s="45">
        <v>0.11</v>
      </c>
      <c r="D102" s="24">
        <f>(0.99*0.99*2650000000)*C102</f>
        <v>285699150</v>
      </c>
    </row>
    <row r="103" spans="2:4" x14ac:dyDescent="0.2">
      <c r="B103" s="2"/>
      <c r="C103" s="40"/>
      <c r="D103" s="39"/>
    </row>
    <row r="104" spans="2:4" x14ac:dyDescent="0.2">
      <c r="B104" s="5" t="s">
        <v>146</v>
      </c>
      <c r="C104" s="40"/>
      <c r="D104" s="34">
        <f>D50+D57+D64+D69+D87+D93+D99</f>
        <v>1195325362.4347501</v>
      </c>
    </row>
    <row r="105" spans="2:4" x14ac:dyDescent="0.2">
      <c r="B105" s="2"/>
      <c r="C105" s="40"/>
      <c r="D105" s="39"/>
    </row>
    <row r="106" spans="2:4" x14ac:dyDescent="0.2">
      <c r="B106" s="2" t="s">
        <v>147</v>
      </c>
      <c r="C106" s="29">
        <v>0.25</v>
      </c>
      <c r="D106" s="24">
        <f>C106*(D64+D68+D87+D93+D99)</f>
        <v>141790937.5</v>
      </c>
    </row>
    <row r="107" spans="2:4" x14ac:dyDescent="0.2">
      <c r="B107" s="3"/>
      <c r="C107" s="30"/>
      <c r="D107" s="20"/>
    </row>
    <row r="108" spans="2:4" ht="13.5" thickBot="1" x14ac:dyDescent="0.25">
      <c r="B108" s="6" t="s">
        <v>148</v>
      </c>
      <c r="C108" s="23"/>
      <c r="D108" s="21">
        <f>D104+D106</f>
        <v>1337116299.9347501</v>
      </c>
    </row>
    <row r="109" spans="2:4" x14ac:dyDescent="0.2">
      <c r="D109" s="12">
        <v>0</v>
      </c>
    </row>
    <row r="110" spans="2:4" x14ac:dyDescent="0.2">
      <c r="B110" t="s">
        <v>149</v>
      </c>
      <c r="C110" s="44">
        <f>D48+D49+D57+D64+D69+D93+D99</f>
        <v>236285688.58475</v>
      </c>
      <c r="D110" s="113">
        <f>C110/D87</f>
        <v>0.45503435319727692</v>
      </c>
    </row>
    <row r="112" spans="2:4" ht="13.5" thickBot="1" x14ac:dyDescent="0.25"/>
    <row r="113" spans="2:4" x14ac:dyDescent="0.2">
      <c r="B113" s="1" t="s">
        <v>150</v>
      </c>
      <c r="C113" s="22"/>
      <c r="D113" s="15"/>
    </row>
    <row r="114" spans="2:4" x14ac:dyDescent="0.2">
      <c r="B114" s="2" t="s">
        <v>152</v>
      </c>
      <c r="C114" s="142">
        <f>C156</f>
        <v>3545.9595959595963</v>
      </c>
      <c r="D114" s="19">
        <f>0.98*C114*C31</f>
        <v>4969307.777777778</v>
      </c>
    </row>
    <row r="115" spans="2:4" x14ac:dyDescent="0.2">
      <c r="B115" s="3" t="s">
        <v>154</v>
      </c>
      <c r="C115" s="58">
        <v>400</v>
      </c>
      <c r="D115" s="20">
        <f>-C115*C31</f>
        <v>-572000</v>
      </c>
    </row>
    <row r="116" spans="2:4" x14ac:dyDescent="0.2">
      <c r="B116" s="2" t="s">
        <v>156</v>
      </c>
      <c r="C116" s="142"/>
      <c r="D116" s="34">
        <f>SUM(D114:D115)</f>
        <v>4397307.777777778</v>
      </c>
    </row>
    <row r="117" spans="2:4" x14ac:dyDescent="0.2">
      <c r="B117" s="3"/>
      <c r="C117" s="58"/>
      <c r="D117" s="20"/>
    </row>
    <row r="118" spans="2:4" x14ac:dyDescent="0.2">
      <c r="B118" s="2" t="s">
        <v>159</v>
      </c>
      <c r="C118" s="142">
        <f>C156</f>
        <v>3545.9595959595963</v>
      </c>
      <c r="D118" s="19">
        <f>0.98*C118*C33</f>
        <v>154145060.35833335</v>
      </c>
    </row>
    <row r="119" spans="2:4" x14ac:dyDescent="0.2">
      <c r="B119" s="3" t="s">
        <v>161</v>
      </c>
      <c r="C119" s="58">
        <v>400</v>
      </c>
      <c r="D119" s="20">
        <f>-C119*C33</f>
        <v>-17743110</v>
      </c>
    </row>
    <row r="120" spans="2:4" x14ac:dyDescent="0.2">
      <c r="B120" s="5" t="s">
        <v>162</v>
      </c>
      <c r="C120" s="40"/>
      <c r="D120" s="34">
        <f>SUM(D118:D119)</f>
        <v>136401950.35833335</v>
      </c>
    </row>
    <row r="121" spans="2:4" x14ac:dyDescent="0.2">
      <c r="B121" s="2"/>
      <c r="C121" s="40"/>
      <c r="D121" s="39"/>
    </row>
    <row r="122" spans="2:4" x14ac:dyDescent="0.2">
      <c r="B122" s="2" t="s">
        <v>163</v>
      </c>
      <c r="C122" s="57">
        <v>2500</v>
      </c>
      <c r="D122" s="24">
        <f>0.95*C122*C36</f>
        <v>6659500</v>
      </c>
    </row>
    <row r="123" spans="2:4" x14ac:dyDescent="0.2">
      <c r="B123" s="3" t="s">
        <v>164</v>
      </c>
      <c r="C123" s="58">
        <v>400</v>
      </c>
      <c r="D123" s="20">
        <f>-C123*C36</f>
        <v>-1121600</v>
      </c>
    </row>
    <row r="124" spans="2:4" x14ac:dyDescent="0.2">
      <c r="B124" s="5" t="s">
        <v>165</v>
      </c>
      <c r="C124" s="40"/>
      <c r="D124" s="34">
        <f>SUM(D122:D123)</f>
        <v>5537900</v>
      </c>
    </row>
    <row r="125" spans="2:4" x14ac:dyDescent="0.2">
      <c r="B125" s="2"/>
      <c r="C125" s="40"/>
      <c r="D125" s="39"/>
    </row>
    <row r="126" spans="2:4" x14ac:dyDescent="0.2">
      <c r="B126" s="2" t="s">
        <v>166</v>
      </c>
      <c r="C126" s="57">
        <v>3000</v>
      </c>
      <c r="D126" s="24">
        <f>1*C126*C37</f>
        <v>12012000</v>
      </c>
    </row>
    <row r="127" spans="2:4" x14ac:dyDescent="0.2">
      <c r="B127" s="3" t="s">
        <v>167</v>
      </c>
      <c r="C127" s="58">
        <v>400</v>
      </c>
      <c r="D127" s="20">
        <f>-C127*C37</f>
        <v>-1601600</v>
      </c>
    </row>
    <row r="128" spans="2:4" x14ac:dyDescent="0.2">
      <c r="B128" s="5" t="s">
        <v>168</v>
      </c>
      <c r="C128" s="40"/>
      <c r="D128" s="34">
        <f>SUM(D126:D127)</f>
        <v>10410400</v>
      </c>
    </row>
    <row r="129" spans="2:4" x14ac:dyDescent="0.2">
      <c r="B129" s="2"/>
      <c r="C129" s="40"/>
      <c r="D129" s="39"/>
    </row>
    <row r="130" spans="2:4" x14ac:dyDescent="0.2">
      <c r="B130" s="2" t="s">
        <v>169</v>
      </c>
      <c r="C130" s="82">
        <f>1000*12</f>
        <v>12000</v>
      </c>
      <c r="D130" s="24">
        <f>1*C130*138</f>
        <v>1656000</v>
      </c>
    </row>
    <row r="131" spans="2:4" x14ac:dyDescent="0.2">
      <c r="B131" s="3" t="s">
        <v>170</v>
      </c>
      <c r="C131" s="83">
        <v>1000</v>
      </c>
      <c r="D131" s="20">
        <f>-C131*138</f>
        <v>-138000</v>
      </c>
    </row>
    <row r="132" spans="2:4" x14ac:dyDescent="0.2">
      <c r="B132" s="5" t="s">
        <v>171</v>
      </c>
      <c r="C132" s="40"/>
      <c r="D132" s="34">
        <f>SUM(D130:D131)</f>
        <v>1518000</v>
      </c>
    </row>
    <row r="133" spans="2:4" x14ac:dyDescent="0.2">
      <c r="B133" s="2"/>
      <c r="C133" s="40"/>
      <c r="D133" s="39"/>
    </row>
    <row r="134" spans="2:4" x14ac:dyDescent="0.2">
      <c r="B134" s="33" t="s">
        <v>172</v>
      </c>
      <c r="C134" s="47" t="s">
        <v>173</v>
      </c>
      <c r="D134" s="48" t="s">
        <v>174</v>
      </c>
    </row>
    <row r="135" spans="2:4" x14ac:dyDescent="0.2">
      <c r="B135" s="2" t="s">
        <v>175</v>
      </c>
      <c r="C135" s="27">
        <v>4.4999999999999998E-2</v>
      </c>
      <c r="D135" s="24">
        <f>D116/C135</f>
        <v>97717950.617283955</v>
      </c>
    </row>
    <row r="136" spans="2:4" x14ac:dyDescent="0.2">
      <c r="B136" s="2" t="s">
        <v>176</v>
      </c>
      <c r="C136" s="27">
        <v>4.4999999999999998E-2</v>
      </c>
      <c r="D136" s="24">
        <f>D120/C136</f>
        <v>3031154452.4074078</v>
      </c>
    </row>
    <row r="137" spans="2:4" x14ac:dyDescent="0.2">
      <c r="B137" s="2" t="s">
        <v>177</v>
      </c>
      <c r="C137" s="27">
        <v>6.5000000000000002E-2</v>
      </c>
      <c r="D137" s="24">
        <f>D124/C137</f>
        <v>85198461.538461536</v>
      </c>
    </row>
    <row r="138" spans="2:4" x14ac:dyDescent="0.2">
      <c r="B138" s="2" t="s">
        <v>178</v>
      </c>
      <c r="C138" s="27">
        <v>6.5000000000000002E-2</v>
      </c>
      <c r="D138" s="24">
        <f>D128/C138</f>
        <v>160160000</v>
      </c>
    </row>
    <row r="139" spans="2:4" x14ac:dyDescent="0.2">
      <c r="B139" s="3" t="s">
        <v>179</v>
      </c>
      <c r="C139" s="41">
        <v>7.0000000000000007E-2</v>
      </c>
      <c r="D139" s="20">
        <f>D132/C139</f>
        <v>21685714.285714284</v>
      </c>
    </row>
    <row r="140" spans="2:4" ht="13.5" thickBot="1" x14ac:dyDescent="0.25">
      <c r="B140" s="16" t="s">
        <v>180</v>
      </c>
      <c r="C140" s="102"/>
      <c r="D140" s="103">
        <f>SUM(D135:D139)</f>
        <v>3395916578.8488674</v>
      </c>
    </row>
    <row r="142" spans="2:4" ht="13.5" thickBot="1" x14ac:dyDescent="0.25"/>
    <row r="143" spans="2:4" ht="13.5" thickBot="1" x14ac:dyDescent="0.25">
      <c r="B143" s="127" t="s">
        <v>181</v>
      </c>
      <c r="C143" s="125"/>
      <c r="D143" s="126">
        <f>D135+D136+D137+D138+D139</f>
        <v>3395916578.8488674</v>
      </c>
    </row>
    <row r="144" spans="2:4" ht="13.5" thickBot="1" x14ac:dyDescent="0.25"/>
    <row r="145" spans="2:4" x14ac:dyDescent="0.2">
      <c r="B145" s="135" t="s">
        <v>74</v>
      </c>
      <c r="C145" s="136"/>
      <c r="D145" s="139">
        <f>D143-D108</f>
        <v>2058800278.9141173</v>
      </c>
    </row>
    <row r="146" spans="2:4" x14ac:dyDescent="0.2">
      <c r="B146" s="5" t="s">
        <v>75</v>
      </c>
      <c r="C146" s="137"/>
      <c r="D146" s="140">
        <f>D145/D143</f>
        <v>0.60625761296291925</v>
      </c>
    </row>
    <row r="147" spans="2:4" ht="13.5" thickBot="1" x14ac:dyDescent="0.25">
      <c r="B147" s="6" t="s">
        <v>182</v>
      </c>
      <c r="C147" s="138"/>
      <c r="D147" s="141">
        <f>(D120+D124+D128+D132)/D108</f>
        <v>0.11507469497293689</v>
      </c>
    </row>
    <row r="150" spans="2:4" ht="13.5" thickBot="1" x14ac:dyDescent="0.25"/>
    <row r="151" spans="2:4" x14ac:dyDescent="0.2">
      <c r="B151" s="1" t="s">
        <v>151</v>
      </c>
      <c r="C151" s="35"/>
    </row>
    <row r="152" spans="2:4" x14ac:dyDescent="0.2">
      <c r="B152" s="50" t="s">
        <v>153</v>
      </c>
      <c r="C152" s="146">
        <v>2950</v>
      </c>
    </row>
    <row r="153" spans="2:4" x14ac:dyDescent="0.2">
      <c r="B153" s="2" t="s">
        <v>155</v>
      </c>
      <c r="C153" s="145">
        <v>45</v>
      </c>
    </row>
    <row r="154" spans="2:4" x14ac:dyDescent="0.2">
      <c r="B154" s="50" t="s">
        <v>157</v>
      </c>
      <c r="C154" s="145">
        <v>2</v>
      </c>
    </row>
    <row r="155" spans="2:4" x14ac:dyDescent="0.2">
      <c r="B155" s="2" t="s">
        <v>158</v>
      </c>
      <c r="C155" s="13">
        <f>IF(C154=1,34,IF(C154=1.5,37,IF(C154=2,40,IF(C154=2.5,42,IF(C154=3,44,IF(C154=3.5,46.5,IF(C154=4,49,IF(C154=4.5,50.5,IF(C154=5,52,IF(C154=6,55))))))))))</f>
        <v>40</v>
      </c>
    </row>
    <row r="156" spans="2:4" ht="13.5" thickBot="1" x14ac:dyDescent="0.25">
      <c r="B156" s="4" t="s">
        <v>160</v>
      </c>
      <c r="C156" s="51">
        <f>((C152*(C153+C155)*77)/121)/C153</f>
        <v>3545.9595959595963</v>
      </c>
    </row>
    <row r="193" spans="2:4" ht="13.5" thickBot="1" x14ac:dyDescent="0.25"/>
    <row r="194" spans="2:4" x14ac:dyDescent="0.2">
      <c r="B194" s="1" t="s">
        <v>183</v>
      </c>
      <c r="C194" s="22"/>
      <c r="D194" s="18" t="s">
        <v>109</v>
      </c>
    </row>
    <row r="195" spans="2:4" x14ac:dyDescent="0.2">
      <c r="B195" s="2" t="s">
        <v>184</v>
      </c>
      <c r="C195" s="84">
        <v>50000</v>
      </c>
      <c r="D195" s="19">
        <f>C195*C34</f>
        <v>0</v>
      </c>
    </row>
    <row r="196" spans="2:4" x14ac:dyDescent="0.2">
      <c r="B196" s="3" t="s">
        <v>185</v>
      </c>
      <c r="C196" s="58">
        <v>12000</v>
      </c>
      <c r="D196" s="20">
        <f>C196*C34</f>
        <v>0</v>
      </c>
    </row>
    <row r="197" spans="2:4" ht="13.5" thickBot="1" x14ac:dyDescent="0.25">
      <c r="B197" s="16" t="s">
        <v>186</v>
      </c>
      <c r="C197" s="104">
        <f>SUM(C195:C196)</f>
        <v>62000</v>
      </c>
      <c r="D197" s="103">
        <f>SUM(D195:D196)</f>
        <v>0</v>
      </c>
    </row>
    <row r="199" spans="2:4" ht="13.5" thickBot="1" x14ac:dyDescent="0.25"/>
    <row r="200" spans="2:4" x14ac:dyDescent="0.2">
      <c r="B200" s="1" t="s">
        <v>187</v>
      </c>
      <c r="C200" s="22"/>
      <c r="D200" s="18" t="s">
        <v>109</v>
      </c>
    </row>
    <row r="201" spans="2:4" x14ac:dyDescent="0.2">
      <c r="B201" s="2" t="s">
        <v>184</v>
      </c>
      <c r="C201" s="84">
        <v>55000</v>
      </c>
      <c r="D201" s="19">
        <f>C201*C35</f>
        <v>0</v>
      </c>
    </row>
    <row r="202" spans="2:4" x14ac:dyDescent="0.2">
      <c r="B202" s="3"/>
      <c r="C202" s="58">
        <v>0</v>
      </c>
      <c r="D202" s="20">
        <f>C202*(C38+C40)</f>
        <v>0</v>
      </c>
    </row>
    <row r="203" spans="2:4" ht="13.5" thickBot="1" x14ac:dyDescent="0.25">
      <c r="B203" s="16" t="s">
        <v>186</v>
      </c>
      <c r="C203" s="104">
        <f>SUM(C201:C202)</f>
        <v>55000</v>
      </c>
      <c r="D203" s="103">
        <f>SUM(D201:D202)</f>
        <v>0</v>
      </c>
    </row>
  </sheetData>
  <hyperlinks>
    <hyperlink ref="B53" r:id="rId1" display="Lantmäteriavgifter, fastighetsbildning" xr:uid="{9663209A-5869-4900-BF23-4392A8C31716}"/>
    <hyperlink ref="B54" r:id="rId2" location="h-Planavgift" display="Planavgift till kommunen (Botkyrka)" xr:uid="{3D7DA180-63C5-4F31-99BE-F210D623131D}"/>
    <hyperlink ref="B90" r:id="rId3" display="Vatten och avlopp (Botkyrka)" xr:uid="{7D32B9AF-3C61-47A7-9FC5-5BC357899E6C}"/>
    <hyperlink ref="B55" r:id="rId4" display="Bygglov (Botkyrka)" xr:uid="{FD3E4E63-643B-457F-BE53-B828FDFB94D0}"/>
    <hyperlink ref="B91" r:id="rId5" display="Uppvärmning (SFAB)" xr:uid="{9A9407D5-DF36-429B-AB15-8B62E8998086}"/>
    <hyperlink ref="B48" r:id="rId6" xr:uid="{53E51504-F2D7-408E-865A-7E13298C675F}"/>
    <hyperlink ref="B49" r:id="rId7" xr:uid="{66BB8C94-5478-41D7-83BF-9EB623E3B869}"/>
  </hyperlinks>
  <pageMargins left="0.7" right="0.7" top="0.75" bottom="0.75" header="0.3" footer="0.3"/>
  <pageSetup paperSize="9" scale="64" orientation="portrait" r:id="rId8"/>
  <rowBreaks count="1" manualBreakCount="1"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ab110-9921-4210-b8dd-492dbed43a44">
      <Terms xmlns="http://schemas.microsoft.com/office/infopath/2007/PartnerControls"/>
    </lcf76f155ced4ddcb4097134ff3c332f>
    <TaxCatchAll xmlns="5c780a45-ee6b-428f-983d-5491f10cc6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D248BFDE839641A6B11A1BD965B1C3" ma:contentTypeVersion="12" ma:contentTypeDescription="Skapa ett nytt dokument." ma:contentTypeScope="" ma:versionID="8afd03c5f17e0ec002ccd501a4d884aa">
  <xsd:schema xmlns:xsd="http://www.w3.org/2001/XMLSchema" xmlns:xs="http://www.w3.org/2001/XMLSchema" xmlns:p="http://schemas.microsoft.com/office/2006/metadata/properties" xmlns:ns2="50bab110-9921-4210-b8dd-492dbed43a44" xmlns:ns3="5c780a45-ee6b-428f-983d-5491f10cc6f1" targetNamespace="http://schemas.microsoft.com/office/2006/metadata/properties" ma:root="true" ma:fieldsID="e0aa6c409372798666ed7471ed95d23f" ns2:_="" ns3:_="">
    <xsd:import namespace="50bab110-9921-4210-b8dd-492dbed43a44"/>
    <xsd:import namespace="5c780a45-ee6b-428f-983d-5491f10cc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ab110-9921-4210-b8dd-492dbed43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d50308b9-25d7-4386-aaca-c0edaff9d2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80a45-ee6b-428f-983d-5491f10cc6f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8a06563-4d7f-4d40-a49a-c08bc6059423}" ma:internalName="TaxCatchAll" ma:showField="CatchAllData" ma:web="5c780a45-ee6b-428f-983d-5491f10cc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EFBC4-3A23-4925-B075-A75D6696C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D9C3A-CAE9-4953-8857-EC69C6CAAE79}">
  <ds:schemaRefs>
    <ds:schemaRef ds:uri="http://schemas.microsoft.com/office/2006/metadata/properties"/>
    <ds:schemaRef ds:uri="http://schemas.microsoft.com/office/infopath/2007/PartnerControls"/>
    <ds:schemaRef ds:uri="c2948954-55bb-4a06-bcc4-617c344b9b35"/>
    <ds:schemaRef ds:uri="28ab4cf1-bfdb-4e3b-ae35-a5188bb01723"/>
    <ds:schemaRef ds:uri="58b73baf-9519-4e7a-8df7-7683eaf00ee0"/>
    <ds:schemaRef ds:uri="50bab110-9921-4210-b8dd-492dbed43a44"/>
    <ds:schemaRef ds:uri="5c780a45-ee6b-428f-983d-5491f10cc6f1"/>
  </ds:schemaRefs>
</ds:datastoreItem>
</file>

<file path=customXml/itemProps3.xml><?xml version="1.0" encoding="utf-8"?>
<ds:datastoreItem xmlns:ds="http://schemas.openxmlformats.org/officeDocument/2006/customXml" ds:itemID="{E77114D7-DB7F-4698-A84C-569691779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ab110-9921-4210-b8dd-492dbed43a44"/>
    <ds:schemaRef ds:uri="5c780a45-ee6b-428f-983d-5491f10cc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Rent roll and financial info</vt:lpstr>
      <vt:lpstr>Cash flow NOI</vt:lpstr>
      <vt:lpstr>Apt.list</vt:lpstr>
      <vt:lpstr>Amortization</vt:lpstr>
      <vt:lpstr>Project overview</vt:lpstr>
      <vt:lpstr>Apartment list (old)</vt:lpstr>
      <vt:lpstr>Hallunda Gård aggregated</vt:lpstr>
      <vt:lpstr>'Hallunda Gård aggregated'!Print_Area</vt:lpstr>
      <vt:lpstr>'Project overview'!Print_Area</vt:lpstr>
    </vt:vector>
  </TitlesOfParts>
  <Manager/>
  <Company>Peab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carl.johan.casserberg@titania.se</dc:creator>
  <cp:keywords/>
  <dc:description/>
  <cp:lastModifiedBy>Joakim Signäs</cp:lastModifiedBy>
  <cp:revision/>
  <dcterms:created xsi:type="dcterms:W3CDTF">2021-03-29T07:57:59Z</dcterms:created>
  <dcterms:modified xsi:type="dcterms:W3CDTF">2025-08-18T13:48:13Z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0x0101000ED248BFDE839641A6B11A1BD965B1C3</vt:lpwstr>
  </property>
  <property fmtid="{D5CDD505-2E9C-101B-9397-08002B2CF9AE}" pid="3" name="MediaServiceImageTags">
    <vt:lpwstr/>
  </property>
</Properties>
</file>